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EXHW081526" sheetId="2" r:id="rId1"/>
  </sheets>
  <calcPr calcId="125725"/>
</workbook>
</file>

<file path=xl/calcChain.xml><?xml version="1.0" encoding="utf-8"?>
<calcChain xmlns="http://schemas.openxmlformats.org/spreadsheetml/2006/main">
  <c r="C135" i="2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<sst xmlns="http://schemas.openxmlformats.org/spreadsheetml/2006/main" count="684" uniqueCount="212">
  <si>
    <t>11-05-2022 -</t>
  </si>
  <si>
    <t>Tipo documento</t>
  </si>
  <si>
    <t>Data documento</t>
  </si>
  <si>
    <t>Numero documento</t>
  </si>
  <si>
    <t>Identificativo SDI</t>
  </si>
  <si>
    <t>Data registrazione interna</t>
  </si>
  <si>
    <t>Numero registrazione interna</t>
  </si>
  <si>
    <t>Codice beneficiario</t>
  </si>
  <si>
    <t>Ragione sociale</t>
  </si>
  <si>
    <t>Codice fiscale</t>
  </si>
  <si>
    <t>Partita IVA</t>
  </si>
  <si>
    <t>Descrizione fattura</t>
  </si>
  <si>
    <t>Totale fattura</t>
  </si>
  <si>
    <t>Stock del debito</t>
  </si>
  <si>
    <t>Data scadenza</t>
  </si>
  <si>
    <t>Data pagamento</t>
  </si>
  <si>
    <t>Ufficio fatturazione</t>
  </si>
  <si>
    <t>N</t>
  </si>
  <si>
    <t>HERA COMM. s.p.a.</t>
  </si>
  <si>
    <t>IT03819031208</t>
  </si>
  <si>
    <t>GAS - Nota di credito Spazio 29 - IMPORTO FUORI CAMPO IVA</t>
  </si>
  <si>
    <t>5KZS24</t>
  </si>
  <si>
    <t>F</t>
  </si>
  <si>
    <t>PARROCCHIA DELL'ANNUNCIAZIONE B.V. MARIA</t>
  </si>
  <si>
    <t>IT01917490383</t>
  </si>
  <si>
    <t>SERVIZIO DI FORNITURA PASTI COMUNE DI BONDENO MESE DI NOVEMBRE 2021</t>
  </si>
  <si>
    <t>QJCH5V</t>
  </si>
  <si>
    <t>COOPERATIVA SOCIALE SOCIETA' DOLCE</t>
  </si>
  <si>
    <t>IT03772490375</t>
  </si>
  <si>
    <t>Contratto per la concessione della gestione del nido di infanzia comunale "Margherita" anni educativi 2021/2022 - 2022/2023 e 2023/2024 - SETTEMBRE 2021</t>
  </si>
  <si>
    <t>Contratto per la concessione della gestione del nido di infanzia comunale "Margherita" anni educativi 2021/2022 - 2022/2023 e 2023/2024 - OTTOBRE 2021</t>
  </si>
  <si>
    <t>SOCIETA' COOPERATIVA SCU.TER - SCUOLA TERRITORIO S.C.S.</t>
  </si>
  <si>
    <t>IT03699741207</t>
  </si>
  <si>
    <t>SERVIZIO PER L' INTEGRAZIONE DEGLI ALUNNI DISABILI - OTTOBRE 2021</t>
  </si>
  <si>
    <t>ARTEMIS NEW MEDIA</t>
  </si>
  <si>
    <t>IT01640500086</t>
  </si>
  <si>
    <t>Sito web - Nome dominio</t>
  </si>
  <si>
    <t>2OYZNC</t>
  </si>
  <si>
    <t>ENEL SOLE S.R.L.</t>
  </si>
  <si>
    <t>IT15844561009</t>
  </si>
  <si>
    <t>Illuminazione Pubblica - lavori-Installazione</t>
  </si>
  <si>
    <t>GTYW5N</t>
  </si>
  <si>
    <t>Soldo Financial Services Ltd</t>
  </si>
  <si>
    <t>IT08891240965</t>
  </si>
  <si>
    <t>SOTTOSCRIZIONE SOLDO - Ottobre 2021</t>
  </si>
  <si>
    <t>NIVI CREDIT S.R.L.</t>
  </si>
  <si>
    <t>IT04105740486</t>
  </si>
  <si>
    <t>SERVIZIO DI OUTSOURCING RISCOSSIONE DI VERBALI ESTERI</t>
  </si>
  <si>
    <t>TOP SECRET INVESTIGAZIONI E SICUREZZA SRL</t>
  </si>
  <si>
    <t>IT01857670382</t>
  </si>
  <si>
    <t>SERVIZIO DI SICUREZZA SVOLTO PER VS. CONTO IN OCCASIONE DELLE INIZIATIVE SVOLTE NELL'AMBITO DELLA .CENTENARIA FIERA DI OTTOBRE 2021</t>
  </si>
  <si>
    <t>OT0AOW</t>
  </si>
  <si>
    <t>HERA S.P.A.</t>
  </si>
  <si>
    <t>FORNITURA SERVIZIO ACQUA - Fontana Settepolesini - Settembre e Ottobre 2021</t>
  </si>
  <si>
    <t>FORNITURA SERVIZIO ACQUA - Scortichino - Settembre e Ottobre 2021</t>
  </si>
  <si>
    <t>TLP3QA</t>
  </si>
  <si>
    <t>BREAK POINT SNC</t>
  </si>
  <si>
    <t>IT00966460388</t>
  </si>
  <si>
    <t>STORNO FATTURA N. 00117</t>
  </si>
  <si>
    <t>EDISON ENERGIA S.P.A</t>
  </si>
  <si>
    <t>IT08526440154</t>
  </si>
  <si>
    <t>Gas - Polizia locale - Settembre 2021</t>
  </si>
  <si>
    <t>Illuminazione Pubblica - Lavori- Installazione</t>
  </si>
  <si>
    <t>CIR - COOPERATIVA ITALIANA DI RISTORAZIONE</t>
  </si>
  <si>
    <t>IT00464110352</t>
  </si>
  <si>
    <t>PASTI MENSA SCOLASTICA BAMBINI E ADULTI - SETTEMBRE 2021</t>
  </si>
  <si>
    <t>SERVIZIO FORNITURA PASTI - SETTEMBRE 2021</t>
  </si>
  <si>
    <t>SERVIZIO FORNITURA PASTI AL CRUDO - SETTEMBRE 2021</t>
  </si>
  <si>
    <t>MENU' FISSO</t>
  </si>
  <si>
    <t>A.C.E.R.AZIENDA CASA EMILIA ROMAGNA</t>
  </si>
  <si>
    <t>IT00051510386</t>
  </si>
  <si>
    <t>COMP.TECNICHE SISMA 2012 INTERVENTO DI VIA RISORGIMENTO 56 A BONDENO CLASSIFICAZIONE AEDES B - ORD.N. 49/2012</t>
  </si>
  <si>
    <t>Gas - Pinacoteca - ago 2021</t>
  </si>
  <si>
    <t>SOTTOSCRIZIONE SOLDO - Agosto 2021</t>
  </si>
  <si>
    <t>SERENA SOC. COOP SOCIALE ONLUS</t>
  </si>
  <si>
    <t>IT00975280389</t>
  </si>
  <si>
    <t>RECUPERO SPESE GAS GEN-GIU 2021 CASA BOTTAZZI</t>
  </si>
  <si>
    <t>SOTTOSCRIZIONE SOLDO - Capitolo di spesa: 12545 - IMPEGNO DI SPESA N. 20/2021</t>
  </si>
  <si>
    <t>Gas - Villette uomini (appartamento sotto) - Giugno 2021</t>
  </si>
  <si>
    <t>SOTTOSCRIZIONE SOLDO - Giugno 2021</t>
  </si>
  <si>
    <t>....NO PAGARE..... - ESSEPI IMMOBILIARE SRL</t>
  </si>
  <si>
    <t>IT01576070898</t>
  </si>
  <si>
    <t>Corrispettivo dal piano economico finanziario allegato B quale canone di gestione economica finanziaria - Periodo dal 1 Luglio al 31 Agosto 2021</t>
  </si>
  <si>
    <t>V9H3WP</t>
  </si>
  <si>
    <t>FORNITURA SERVIZIO ACQUA - Villette uomini sotto - Maggio e Giugno 2021</t>
  </si>
  <si>
    <t>FORNITURA SERVIZIO ACQUA - IAL magazzino - Maggio e Giugno 2021</t>
  </si>
  <si>
    <t>FORNITURA SERVIZIO ACQUA - Centro 2000 - Maggio e Giugno 2021</t>
  </si>
  <si>
    <t>FORNITURA SERVIZIO ACQUA - Spazio 29 - Maggio e Giugno 2021</t>
  </si>
  <si>
    <t>SOTTOSCRIZIONE SOLDO - MAGGIO 2021</t>
  </si>
  <si>
    <t>NEGRINI - MICHELINI &amp; C. SNC</t>
  </si>
  <si>
    <t>IT00837680388</t>
  </si>
  <si>
    <t>Realizzazione plinti e scavi per installazione n.5 pannelli di comunicazione per allerte di Protezione Civile</t>
  </si>
  <si>
    <t>RECUPERO SPESE GAS ANNO 2020 CASA BOTTAZZI</t>
  </si>
  <si>
    <t>TIM - TELECOM ITALIA SPA</t>
  </si>
  <si>
    <t>IT00488410010</t>
  </si>
  <si>
    <t>CANONI NOLEGGIO DI APPARATI RADIOMOBILI - RIF. FATTURA: 7X2002279042 - CONTRATTO: 888011854285 - BIM.: 4Â° / 2020</t>
  </si>
  <si>
    <t>CANONI NOLEGGIO DI APPARATI RADIOMOBILI - RIF. FATTURA: 7X2002996713 - CONTRATTO: 888011854285 - BIM.: 5° / 2020</t>
  </si>
  <si>
    <t>CANONI NOLEGGIO DI APPARATI RADIOMOBILI - RIF. FATTURA: 7X2003705310 - CONTRATTO: 888011854285 - BIM.: 6Â° / 2020</t>
  </si>
  <si>
    <t>CANONI NOLEGGIO DI APPARATI RADIOMOBILI - RIF. FATTURA: 7X2004425721 - CONTRATTO: 888011854285 - BIM.: 1° / 2020</t>
  </si>
  <si>
    <t>CANONI NOLEGGIO DI APPARATI RADIOMOBILI - RIF. FATTURA: 7X2100637646 - CONTRATTO: 888011854285 - BIM.: 2Â° / 2021</t>
  </si>
  <si>
    <t>LEPIDA S.P.A.</t>
  </si>
  <si>
    <t>IT02770891204</t>
  </si>
  <si>
    <t>Conguaglio consortile anno 2020 come da nostra lettera inviata il 04.05.2021</t>
  </si>
  <si>
    <t>XXGEMW</t>
  </si>
  <si>
    <t>**********E-DISTRIBUZIONE S.P.A. ALLACCIAMENTI</t>
  </si>
  <si>
    <t>On.Amm.forn.perm.BT</t>
  </si>
  <si>
    <t>Potenza venduta per unità imm.re</t>
  </si>
  <si>
    <t>PNEUS BONDENO S.R.L</t>
  </si>
  <si>
    <t>IT01444510380</t>
  </si>
  <si>
    <t>Carrelli Targa AE46872 - AE46873 - AE46874 - AE46875</t>
  </si>
  <si>
    <t>RIF. FATTURA: 7X2002279042 DEL 15.06.2020 - CONTRATTO: 888011854285 - BIM.: 4/2020</t>
  </si>
  <si>
    <t>RIF. FATTURA: 7X2003705310 DEL 14.10.2020 - CONTRATTO: 888011854285 - BIM.: 6/2020</t>
  </si>
  <si>
    <t>Credito per corrispettivo dal piano economico finanziario allegato B quale canone di gestione economica finanziaria - II trimestre 2021</t>
  </si>
  <si>
    <t>Gas - Scuola materna Bondeno - Febbraio 2021</t>
  </si>
  <si>
    <t>SERVIZIO DI OUTSOURCING RISCOSSIONE DI VERBALI ESTERI - Fattura per rimborso spese procedura EMO su pagati a EMO - Relazione del 2021-02-28</t>
  </si>
  <si>
    <t>SERVIZIO DI OUTSOURCING RISCOSSIONE DI VERBALI ESTERI - Fattura Corrispettivi su PT - Relazione del 2021-02-28</t>
  </si>
  <si>
    <t>ROBERTO FAGGIONATO</t>
  </si>
  <si>
    <t>FGGRRT74M13F464Y</t>
  </si>
  <si>
    <t>IT02543220244</t>
  </si>
  <si>
    <t>Nota di credito fatt FPA 763/20 per errato codice univoco</t>
  </si>
  <si>
    <t>MULTICOPIA E ARREDA UFFICIO SRL</t>
  </si>
  <si>
    <t>IT01564380382</t>
  </si>
  <si>
    <t>LOGITEC BCC950 CONFERENCECAM</t>
  </si>
  <si>
    <t>iMARTINI srl</t>
  </si>
  <si>
    <t>IT01693760207</t>
  </si>
  <si>
    <t>REALIZZAZIONE DI ALLOGGI ERP / III LOTTO . IMPIANTI MECCANICI ED ELETTRICI - 5° SAL</t>
  </si>
  <si>
    <t>FORNITURA SERVIZIO ACQUA - Palestra via Napoleonica - Novembre e Dicembre 2020</t>
  </si>
  <si>
    <t>BOTTOLI COSTRUZIONI SRL</t>
  </si>
  <si>
    <t>IT02264720208</t>
  </si>
  <si>
    <t>LAVORI DI REALIZZAZIONE DI ALLOGGI DI EDILIZIA RESIDENZIALE PUBBLICA III LOTTO (LOTTO B) - SAL 5</t>
  </si>
  <si>
    <t>BELTRAMI LIVIANO S.N.C. DI BELTRAMI C.E BELTRAMI E.</t>
  </si>
  <si>
    <t>IT01952810388</t>
  </si>
  <si>
    <t>REVISIONE EFFETTUATA IN DATA 19/11/2020 SU AUTOVEICOLO FORD RANGER TARGATO DR 801 JL</t>
  </si>
  <si>
    <t>CONTRATTI DI QUARTIERE BONDENO LOTTO 7 RIADDEBITO FATTURA ING. BRUNO ROSSATTI RELATIVA AL COLLAUDO TECNICO AMMINISTRATIVO</t>
  </si>
  <si>
    <t>CONTRATTI DI QUARTIERE BONDENO LOTTO 7 RIADDEBITO AL COMUNE PARCELLA RELATIVA AL COLLAUDO STATICO DELLA RAMPA IN C.A. DI ACCESSO AI GARAGE EFFETTUATO DA ING. MASSIMO MUZZIOLI</t>
  </si>
  <si>
    <t>CONTRATTI DI QUARTIERE BONDENO LOTTO 7. RIADDEBITO ONERI ALLACCIAMENTO LUCE</t>
  </si>
  <si>
    <t>CONTRATTI DI QUARTIERE BONDENO LOTTO 7 RIADDEBITO AL COMUNE DELLA SOMMA RELATIVA ALL'INTERVENTO PER AUTORIZZAZIONE ALLO SCARICO HERA</t>
  </si>
  <si>
    <t>CONTRATTI DI QUARTIERE BONDENO LOTTO 7 RIADDEBITO AL COMUNE ALLACCI A CONTATORI ACQUA HERA</t>
  </si>
  <si>
    <t>CONTRATTI DI QUARTIERE BONDENO LOTTO 7. ADDEBITO ALLACCI</t>
  </si>
  <si>
    <t>**************FAGGIONATO ROBERTO - IL GONFALONE</t>
  </si>
  <si>
    <t>BANDIERE</t>
  </si>
  <si>
    <t>Vapori sodio bassa pressione W 1x90</t>
  </si>
  <si>
    <t>HJGB1Z</t>
  </si>
  <si>
    <t>TIM - TELECOM ITALIA S.P.A.</t>
  </si>
  <si>
    <t>TIM CARD NUVOLA TOP 256K Y48C</t>
  </si>
  <si>
    <t>SALDO PER CONTRATTO 2019/2020 - AFFITTO UTILIZZO IN ORARIO EXTRASCOLASTICO DELLA PALESTRA DELLA SCUOLA SECONDARIA DI I° GRADO DI BONDENO SITA IN VIA GARDENGHI N. 5 - BONDENO</t>
  </si>
  <si>
    <t>Gas - Refezioni - Aprile 2020</t>
  </si>
  <si>
    <t>GALA ENERGIA PULITA S.P.A.</t>
  </si>
  <si>
    <t>IT06832931007</t>
  </si>
  <si>
    <t>Energia elettrica - Autovelox via Provinciale - Gennaio 2015</t>
  </si>
  <si>
    <t>Energia elettrica - Autovelox via Provinciale - Conguaglio 2014</t>
  </si>
  <si>
    <t>Energia elettrica - Autovelox via Provinciale - Febbraio e Marzo 2015</t>
  </si>
  <si>
    <t>Energia elettrica - Illuminazione pubblica via Alberti e autovelox via Provinciale - Settembre 2015</t>
  </si>
  <si>
    <t>Gas - Scuola elementare Stellata - Maggio 2014</t>
  </si>
  <si>
    <t>Gas - Officina comunale - Maggio 2014</t>
  </si>
  <si>
    <t>Gas - sede ANPI - Maggio 2014</t>
  </si>
  <si>
    <t>Gas - Palestra via Manzoni - Maggio 2017</t>
  </si>
  <si>
    <t>Gas - Biblioteca - Maggio 2014</t>
  </si>
  <si>
    <t>TARTARI MARIA LAURA</t>
  </si>
  <si>
    <t>TRTMLR66L58A965L</t>
  </si>
  <si>
    <t>IT01272380385</t>
  </si>
  <si>
    <t>Salami tipici ferraresi</t>
  </si>
  <si>
    <t>TIM CARD NUVOLA TOP TRIPLE Y56C</t>
  </si>
  <si>
    <t>LA FUTURA S.R.L.</t>
  </si>
  <si>
    <t>IT01373390382</t>
  </si>
  <si>
    <t>nota accredito errata</t>
  </si>
  <si>
    <t>ILL.PUBB</t>
  </si>
  <si>
    <t>EN.ELETTRICA CONGUAGLIO SETT 2014 ILL.PUBB.</t>
  </si>
  <si>
    <t>ILL PUBB</t>
  </si>
  <si>
    <t>ILL. PUBB</t>
  </si>
  <si>
    <t>EN.ELETTRICA CONGUAGLIO SETT. 2014 ILL.PUBB</t>
  </si>
  <si>
    <t>CLARA S.P.A.</t>
  </si>
  <si>
    <t>IT01004910384</t>
  </si>
  <si>
    <t>SOSTITUZIONE COMUNE ANNO 2018</t>
  </si>
  <si>
    <t>MD07LT</t>
  </si>
  <si>
    <t>IN CAMMINO A R.L. COOPERATIVA SOCIALE</t>
  </si>
  <si>
    <t>IT00915090393</t>
  </si>
  <si>
    <t>NOTA ACCR. CLIENTE BONDENO</t>
  </si>
  <si>
    <t>30U0ZF</t>
  </si>
  <si>
    <t>NOTA PER INSTALLAZIONE IMPIANTO</t>
  </si>
  <si>
    <t>INSTALLAZIONE NUOVO IMPIANTO</t>
  </si>
  <si>
    <t>FONDAZIONE FILIPPO MANTOVANI</t>
  </si>
  <si>
    <t>IT00131610388</t>
  </si>
  <si>
    <t>ANNULLAMENTO NS.FATT. 249/E DEL 12/09/2017</t>
  </si>
  <si>
    <t>GAS EX SCUOLA ELEMENTARE SCORTICHINO DIC 2016</t>
  </si>
  <si>
    <t>GAS EX SCUOLE ELEMENTARI SCORTICHINO DIC</t>
  </si>
  <si>
    <t>BALBO EMANUELA</t>
  </si>
  <si>
    <t>BLBMNL69S70L359M</t>
  </si>
  <si>
    <t>IT01225180296</t>
  </si>
  <si>
    <t>LIBRI SCOLASTICI</t>
  </si>
  <si>
    <t>GAS ASS.NE ANPI CONG A AGO 2016</t>
  </si>
  <si>
    <t>GAS ASS.NE ANPI SETT 2016</t>
  </si>
  <si>
    <t>GAS OFFICINA COMUNALE CONG A AGO 2016</t>
  </si>
  <si>
    <t>GAS VV.FF. CONGUAGLIO A AGOSTO 2016</t>
  </si>
  <si>
    <t>GAS ASS.NE ANPI SETT2016</t>
  </si>
  <si>
    <t>GAS EX CENTRO IMPIEGO SETT.2016</t>
  </si>
  <si>
    <t>GAS SERVIZI SOCIALI - SEDE ASS.NI SETT.2016</t>
  </si>
  <si>
    <t>GAS POLIZIA MUNICIPALE SETT 2016</t>
  </si>
  <si>
    <t>GAS PALESTRA MANZONI SETT 2016</t>
  </si>
  <si>
    <t>GAS MUSEI E MOSTRE SETT 2016</t>
  </si>
  <si>
    <t>4BIM 2016</t>
  </si>
  <si>
    <t>CIDAS COOP. SOCIALE A R.L. O.N.L.U.S.</t>
  </si>
  <si>
    <t>IT00463980383</t>
  </si>
  <si>
    <t>CONTRATTO DI SERVIZIO PRESTAZIONI SOCIO-SANITARIE EFFETTUATE PRESSO IL CENTRO RESIDENZIALE FIORANA MESE DI GIUGNO 2016</t>
  </si>
  <si>
    <t>COOP ESTENSE SC A RL</t>
  </si>
  <si>
    <t>IT00162660369</t>
  </si>
  <si>
    <t>CEDOLE LIBRARIE SMILEYS</t>
  </si>
  <si>
    <t>FORNITURA GAS SERVIZI ASSISTENZIALI</t>
  </si>
  <si>
    <t>FORNITURA GAS VILLETTE USL VIA FERMI 40</t>
  </si>
  <si>
    <t>GAS VILLETTE USL VIA FERMI 40</t>
  </si>
  <si>
    <t>GAS VILLETTE VIA FERMI 40</t>
  </si>
  <si>
    <t>FORNITURA EN. GAS DICEMBRE 2014 IAL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</si>
</sst>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05E9A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05E9A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05E9A"/>
      </left>
      <right style="thin">
        <color rgb="FF305E9A"/>
      </right>
      <top style="thin">
        <color rgb="FF305E9A"/>
      </top>
      <bottom style="thin">
        <color rgb="FF305E9A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8" fillId="0" borderId="10" xfId="0" applyFont="1" applyBorder="1" applyAlignment="1">
      <alignment horizontal="right" vertical="center"/>
    </xf>
    <xf numFmtId="21" fontId="18" fillId="0" borderId="10" xfId="0" applyNumberFormat="1" applyFont="1" applyBorder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/>
    <xf numFmtId="14" fontId="0" fillId="0" borderId="10" xfId="0" applyNumberFormat="1" applyBorder="1"/>
    <xf numFmtId="4" fontId="0" fillId="0" borderId="10" xfId="0" applyNumberForma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5"/>
  <sheetViews>
    <sheetView showGridLines="0" tabSelected="1" workbookViewId="0"/>
  </sheetViews>
  <sheetFormatPr defaultRowHeight="15"/>
  <cols>
    <col min="1" max="1" width="15.5703125" bestFit="1" customWidth="1"/>
    <col min="2" max="2" width="15.7109375" bestFit="1" customWidth="1"/>
    <col min="3" max="3" width="19.140625" bestFit="1" customWidth="1"/>
    <col min="4" max="4" width="16.28515625" bestFit="1" customWidth="1"/>
    <col min="5" max="5" width="24.28515625" bestFit="1" customWidth="1"/>
    <col min="6" max="6" width="27.7109375" bestFit="1" customWidth="1"/>
    <col min="7" max="7" width="18.42578125" bestFit="1" customWidth="1"/>
    <col min="8" max="8" width="36.5703125" bestFit="1" customWidth="1"/>
    <col min="9" max="9" width="19" bestFit="1" customWidth="1"/>
    <col min="10" max="10" width="13.7109375" bestFit="1" customWidth="1"/>
    <col min="11" max="11" width="36.5703125" bestFit="1" customWidth="1"/>
    <col min="12" max="12" width="13.140625" bestFit="1" customWidth="1"/>
    <col min="13" max="13" width="15.42578125" bestFit="1" customWidth="1"/>
    <col min="14" max="14" width="13.5703125" bestFit="1" customWidth="1"/>
    <col min="15" max="15" width="15.5703125" bestFit="1" customWidth="1"/>
    <col min="16" max="16" width="18.5703125" bestFit="1" customWidth="1"/>
  </cols>
  <sheetData>
    <row r="1" spans="1:16">
      <c r="A1" s="1" t="s">
        <v>0</v>
      </c>
      <c r="B1" s="2">
        <v>0.46056712962962965</v>
      </c>
    </row>
    <row r="2" spans="1:1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spans="1:16">
      <c r="A3" s="4" t="s">
        <v>17</v>
      </c>
      <c r="B3" s="5">
        <v>44561</v>
      </c>
      <c r="C3" s="4" t="str">
        <f>"422110265202"</f>
        <v>422110265202</v>
      </c>
      <c r="D3" s="4">
        <v>6465078425</v>
      </c>
      <c r="E3" s="5">
        <v>44582</v>
      </c>
      <c r="F3" s="4">
        <v>222</v>
      </c>
      <c r="G3" s="4">
        <v>105264</v>
      </c>
      <c r="H3" s="4" t="s">
        <v>18</v>
      </c>
      <c r="I3" s="4">
        <v>2221101203</v>
      </c>
      <c r="J3" s="4" t="s">
        <v>19</v>
      </c>
      <c r="K3" s="4" t="s">
        <v>20</v>
      </c>
      <c r="L3" s="4">
        <v>-35</v>
      </c>
      <c r="M3" s="4">
        <v>-35</v>
      </c>
      <c r="N3" s="5">
        <v>44561</v>
      </c>
      <c r="O3" s="4"/>
      <c r="P3" s="4" t="s">
        <v>21</v>
      </c>
    </row>
    <row r="4" spans="1:16">
      <c r="A4" s="4" t="s">
        <v>22</v>
      </c>
      <c r="B4" s="5">
        <v>44531</v>
      </c>
      <c r="C4" s="4" t="str">
        <f>"8/PA"</f>
        <v>8/PA</v>
      </c>
      <c r="D4" s="4">
        <v>6244388450</v>
      </c>
      <c r="E4" s="5">
        <v>44532</v>
      </c>
      <c r="F4" s="4">
        <v>3373</v>
      </c>
      <c r="G4" s="4">
        <v>1430</v>
      </c>
      <c r="H4" s="4" t="s">
        <v>23</v>
      </c>
      <c r="I4" s="4">
        <v>93003330383</v>
      </c>
      <c r="J4" s="4" t="s">
        <v>24</v>
      </c>
      <c r="K4" s="4" t="s">
        <v>25</v>
      </c>
      <c r="L4" s="6">
        <v>3276.95</v>
      </c>
      <c r="M4" s="6">
        <v>3120.9</v>
      </c>
      <c r="N4" s="5">
        <v>44561</v>
      </c>
      <c r="O4" s="5">
        <v>44565</v>
      </c>
      <c r="P4" s="4" t="s">
        <v>26</v>
      </c>
    </row>
    <row r="5" spans="1:16">
      <c r="A5" s="4" t="s">
        <v>22</v>
      </c>
      <c r="B5" s="5">
        <v>44530</v>
      </c>
      <c r="C5" s="4" t="str">
        <f>"6152 V9"</f>
        <v>6152 V9</v>
      </c>
      <c r="D5" s="4">
        <v>6242315392</v>
      </c>
      <c r="E5" s="5">
        <v>44532</v>
      </c>
      <c r="F5" s="4">
        <v>3372</v>
      </c>
      <c r="G5" s="4">
        <v>109203</v>
      </c>
      <c r="H5" s="4" t="s">
        <v>27</v>
      </c>
      <c r="I5" s="4">
        <v>3772490375</v>
      </c>
      <c r="J5" s="4" t="s">
        <v>28</v>
      </c>
      <c r="K5" s="4" t="s">
        <v>29</v>
      </c>
      <c r="L5" s="6">
        <v>25593.69</v>
      </c>
      <c r="M5" s="6">
        <v>24374.94</v>
      </c>
      <c r="N5" s="5">
        <v>44561</v>
      </c>
      <c r="O5" s="5">
        <v>44565</v>
      </c>
      <c r="P5" s="4" t="s">
        <v>26</v>
      </c>
    </row>
    <row r="6" spans="1:16">
      <c r="A6" s="4" t="s">
        <v>22</v>
      </c>
      <c r="B6" s="5">
        <v>44530</v>
      </c>
      <c r="C6" s="4" t="str">
        <f>"6154 V9"</f>
        <v>6154 V9</v>
      </c>
      <c r="D6" s="4">
        <v>6242314334</v>
      </c>
      <c r="E6" s="5">
        <v>44532</v>
      </c>
      <c r="F6" s="4">
        <v>3371</v>
      </c>
      <c r="G6" s="4">
        <v>109203</v>
      </c>
      <c r="H6" s="4" t="s">
        <v>27</v>
      </c>
      <c r="I6" s="4">
        <v>3772490375</v>
      </c>
      <c r="J6" s="4" t="s">
        <v>28</v>
      </c>
      <c r="K6" s="4" t="s">
        <v>30</v>
      </c>
      <c r="L6" s="6">
        <v>27819.23</v>
      </c>
      <c r="M6" s="6">
        <v>26494.5</v>
      </c>
      <c r="N6" s="5">
        <v>44561</v>
      </c>
      <c r="O6" s="5">
        <v>44565</v>
      </c>
      <c r="P6" s="4" t="s">
        <v>26</v>
      </c>
    </row>
    <row r="7" spans="1:16">
      <c r="A7" s="4" t="s">
        <v>22</v>
      </c>
      <c r="B7" s="5">
        <v>44525</v>
      </c>
      <c r="C7" s="4" t="str">
        <f>"365/PA"</f>
        <v>365/PA</v>
      </c>
      <c r="D7" s="4">
        <v>6215079911</v>
      </c>
      <c r="E7" s="5">
        <v>44532</v>
      </c>
      <c r="F7" s="4">
        <v>3362</v>
      </c>
      <c r="G7" s="4">
        <v>108316</v>
      </c>
      <c r="H7" s="4" t="s">
        <v>31</v>
      </c>
      <c r="I7" s="4">
        <v>3699741207</v>
      </c>
      <c r="J7" s="4" t="s">
        <v>32</v>
      </c>
      <c r="K7" s="4" t="s">
        <v>33</v>
      </c>
      <c r="L7" s="6">
        <v>22983.03</v>
      </c>
      <c r="M7" s="6">
        <v>21888.6</v>
      </c>
      <c r="N7" s="5">
        <v>44555</v>
      </c>
      <c r="O7" s="5">
        <v>44568</v>
      </c>
      <c r="P7" s="4" t="s">
        <v>26</v>
      </c>
    </row>
    <row r="8" spans="1:16">
      <c r="A8" s="4" t="s">
        <v>22</v>
      </c>
      <c r="B8" s="5">
        <v>44519</v>
      </c>
      <c r="C8" s="4" t="str">
        <f>"FATT/2021/0446"</f>
        <v>FATT/2021/0446</v>
      </c>
      <c r="D8" s="4">
        <v>6182107294</v>
      </c>
      <c r="E8" s="5">
        <v>44522</v>
      </c>
      <c r="F8" s="4">
        <v>3242</v>
      </c>
      <c r="G8" s="4">
        <v>108632</v>
      </c>
      <c r="H8" s="4" t="s">
        <v>34</v>
      </c>
      <c r="I8" s="4">
        <v>1640500086</v>
      </c>
      <c r="J8" s="4" t="s">
        <v>35</v>
      </c>
      <c r="K8" s="4" t="s">
        <v>36</v>
      </c>
      <c r="L8" s="4">
        <v>488</v>
      </c>
      <c r="M8" s="4">
        <v>400</v>
      </c>
      <c r="N8" s="5">
        <v>44549</v>
      </c>
      <c r="O8" s="5">
        <v>44593</v>
      </c>
      <c r="P8" s="4" t="s">
        <v>37</v>
      </c>
    </row>
    <row r="9" spans="1:16">
      <c r="A9" s="4" t="s">
        <v>22</v>
      </c>
      <c r="B9" s="5">
        <v>44519</v>
      </c>
      <c r="C9" s="4" t="str">
        <f>"FATT/2021/0447"</f>
        <v>FATT/2021/0447</v>
      </c>
      <c r="D9" s="4">
        <v>6182405234</v>
      </c>
      <c r="E9" s="5">
        <v>44522</v>
      </c>
      <c r="F9" s="4">
        <v>3241</v>
      </c>
      <c r="G9" s="4">
        <v>108632</v>
      </c>
      <c r="H9" s="4" t="s">
        <v>34</v>
      </c>
      <c r="I9" s="4">
        <v>1640500086</v>
      </c>
      <c r="J9" s="4" t="s">
        <v>35</v>
      </c>
      <c r="K9" s="4" t="s">
        <v>36</v>
      </c>
      <c r="L9" s="4">
        <v>244</v>
      </c>
      <c r="M9" s="4">
        <v>200</v>
      </c>
      <c r="N9" s="5">
        <v>44549</v>
      </c>
      <c r="O9" s="5">
        <v>44593</v>
      </c>
      <c r="P9" s="4" t="s">
        <v>37</v>
      </c>
    </row>
    <row r="10" spans="1:16">
      <c r="A10" s="4" t="s">
        <v>22</v>
      </c>
      <c r="B10" s="5">
        <v>44503</v>
      </c>
      <c r="C10" s="4" t="str">
        <f>"SF00039437"</f>
        <v>SF00039437</v>
      </c>
      <c r="D10" s="4">
        <v>6081953497</v>
      </c>
      <c r="E10" s="5">
        <v>44522</v>
      </c>
      <c r="F10" s="4">
        <v>3244</v>
      </c>
      <c r="G10" s="4">
        <v>3066</v>
      </c>
      <c r="H10" s="4" t="s">
        <v>38</v>
      </c>
      <c r="I10" s="4">
        <v>2322600541</v>
      </c>
      <c r="J10" s="4" t="s">
        <v>39</v>
      </c>
      <c r="K10" s="4" t="s">
        <v>40</v>
      </c>
      <c r="L10" s="6">
        <v>4838.08</v>
      </c>
      <c r="M10" s="6">
        <v>3965.64</v>
      </c>
      <c r="N10" s="5">
        <v>44534</v>
      </c>
      <c r="O10" s="5">
        <v>44641</v>
      </c>
      <c r="P10" s="4" t="s">
        <v>41</v>
      </c>
    </row>
    <row r="11" spans="1:16">
      <c r="A11" s="4" t="s">
        <v>22</v>
      </c>
      <c r="B11" s="5">
        <v>44502</v>
      </c>
      <c r="C11" s="4" t="str">
        <f>"2021-PA605"</f>
        <v>2021-PA605</v>
      </c>
      <c r="D11" s="4">
        <v>6084324255</v>
      </c>
      <c r="E11" s="5">
        <v>44522</v>
      </c>
      <c r="F11" s="4">
        <v>3247</v>
      </c>
      <c r="G11" s="4">
        <v>109391</v>
      </c>
      <c r="H11" s="4" t="s">
        <v>42</v>
      </c>
      <c r="I11" s="4">
        <v>8891240965</v>
      </c>
      <c r="J11" s="4" t="s">
        <v>43</v>
      </c>
      <c r="K11" s="4" t="s">
        <v>44</v>
      </c>
      <c r="L11" s="4">
        <v>366</v>
      </c>
      <c r="M11" s="4">
        <v>300</v>
      </c>
      <c r="N11" s="5">
        <v>44534</v>
      </c>
      <c r="O11" s="4"/>
      <c r="P11" s="4" t="s">
        <v>26</v>
      </c>
    </row>
    <row r="12" spans="1:16">
      <c r="A12" s="4" t="s">
        <v>22</v>
      </c>
      <c r="B12" s="5">
        <v>44500</v>
      </c>
      <c r="C12" s="4" t="str">
        <f>"7889/E"</f>
        <v>7889/E</v>
      </c>
      <c r="D12" s="4">
        <v>6131353906</v>
      </c>
      <c r="E12" s="5">
        <v>44515</v>
      </c>
      <c r="F12" s="4">
        <v>3161</v>
      </c>
      <c r="G12" s="4">
        <v>7796</v>
      </c>
      <c r="H12" s="4" t="s">
        <v>45</v>
      </c>
      <c r="I12" s="4">
        <v>4105740486</v>
      </c>
      <c r="J12" s="4" t="s">
        <v>46</v>
      </c>
      <c r="K12" s="4" t="s">
        <v>47</v>
      </c>
      <c r="L12" s="4">
        <v>130.5</v>
      </c>
      <c r="M12" s="4">
        <v>130.5</v>
      </c>
      <c r="N12" s="5">
        <v>44541</v>
      </c>
      <c r="O12" s="5">
        <v>44581</v>
      </c>
      <c r="P12" s="4" t="s">
        <v>37</v>
      </c>
    </row>
    <row r="13" spans="1:16">
      <c r="A13" s="4" t="s">
        <v>22</v>
      </c>
      <c r="B13" s="5">
        <v>44500</v>
      </c>
      <c r="C13" s="4" t="str">
        <f>"7890/E"</f>
        <v>7890/E</v>
      </c>
      <c r="D13" s="4">
        <v>6131354089</v>
      </c>
      <c r="E13" s="5">
        <v>44515</v>
      </c>
      <c r="F13" s="4">
        <v>3162</v>
      </c>
      <c r="G13" s="4">
        <v>7796</v>
      </c>
      <c r="H13" s="4" t="s">
        <v>45</v>
      </c>
      <c r="I13" s="4">
        <v>4105740486</v>
      </c>
      <c r="J13" s="4" t="s">
        <v>46</v>
      </c>
      <c r="K13" s="4" t="s">
        <v>47</v>
      </c>
      <c r="L13" s="4">
        <v>132.59</v>
      </c>
      <c r="M13" s="4">
        <v>132.59</v>
      </c>
      <c r="N13" s="5">
        <v>44541</v>
      </c>
      <c r="O13" s="5">
        <v>44581</v>
      </c>
      <c r="P13" s="4" t="s">
        <v>37</v>
      </c>
    </row>
    <row r="14" spans="1:16">
      <c r="A14" s="4" t="s">
        <v>22</v>
      </c>
      <c r="B14" s="5">
        <v>44500</v>
      </c>
      <c r="C14" s="4" t="str">
        <f>"1384/E"</f>
        <v>1384/E</v>
      </c>
      <c r="D14" s="4">
        <v>6165023375</v>
      </c>
      <c r="E14" s="5">
        <v>44517</v>
      </c>
      <c r="F14" s="4">
        <v>3182</v>
      </c>
      <c r="G14" s="4">
        <v>109112</v>
      </c>
      <c r="H14" s="4" t="s">
        <v>48</v>
      </c>
      <c r="I14" s="4">
        <v>1857670382</v>
      </c>
      <c r="J14" s="4" t="s">
        <v>49</v>
      </c>
      <c r="K14" s="4" t="s">
        <v>50</v>
      </c>
      <c r="L14" s="6">
        <v>1403</v>
      </c>
      <c r="M14" s="6">
        <v>1150</v>
      </c>
      <c r="N14" s="5">
        <v>44546</v>
      </c>
      <c r="O14" s="5">
        <v>44582</v>
      </c>
      <c r="P14" s="4" t="s">
        <v>51</v>
      </c>
    </row>
    <row r="15" spans="1:16">
      <c r="A15" s="4" t="s">
        <v>17</v>
      </c>
      <c r="B15" s="5">
        <v>44496</v>
      </c>
      <c r="C15" s="4" t="str">
        <f>"112106473936"</f>
        <v>112106473936</v>
      </c>
      <c r="D15" s="4">
        <v>6042677032</v>
      </c>
      <c r="E15" s="5">
        <v>44509</v>
      </c>
      <c r="F15" s="4">
        <v>3093</v>
      </c>
      <c r="G15" s="4">
        <v>5822</v>
      </c>
      <c r="H15" s="4" t="s">
        <v>52</v>
      </c>
      <c r="I15" s="4">
        <v>4245520376</v>
      </c>
      <c r="J15" s="4" t="s">
        <v>19</v>
      </c>
      <c r="K15" s="4" t="s">
        <v>53</v>
      </c>
      <c r="L15" s="4">
        <v>-890.93</v>
      </c>
      <c r="M15" s="4">
        <v>-809.94</v>
      </c>
      <c r="N15" s="5">
        <v>44557</v>
      </c>
      <c r="O15" s="5">
        <v>44588</v>
      </c>
      <c r="P15" s="4" t="s">
        <v>21</v>
      </c>
    </row>
    <row r="16" spans="1:16">
      <c r="A16" s="4" t="s">
        <v>22</v>
      </c>
      <c r="B16" s="5">
        <v>44496</v>
      </c>
      <c r="C16" s="4" t="str">
        <f>"112106473986"</f>
        <v>112106473986</v>
      </c>
      <c r="D16" s="4">
        <v>6042781801</v>
      </c>
      <c r="E16" s="5">
        <v>44511</v>
      </c>
      <c r="F16" s="4">
        <v>3130</v>
      </c>
      <c r="G16" s="4">
        <v>5822</v>
      </c>
      <c r="H16" s="4" t="s">
        <v>52</v>
      </c>
      <c r="I16" s="4">
        <v>4245520376</v>
      </c>
      <c r="J16" s="4" t="s">
        <v>19</v>
      </c>
      <c r="K16" s="4" t="s">
        <v>54</v>
      </c>
      <c r="L16" s="4">
        <v>14.99</v>
      </c>
      <c r="M16" s="4">
        <v>13.63</v>
      </c>
      <c r="N16" s="5">
        <v>44557</v>
      </c>
      <c r="O16" s="4"/>
      <c r="P16" s="4" t="s">
        <v>55</v>
      </c>
    </row>
    <row r="17" spans="1:16">
      <c r="A17" s="4" t="s">
        <v>17</v>
      </c>
      <c r="B17" s="5">
        <v>44489</v>
      </c>
      <c r="C17" s="4" t="str">
        <f>"00144"</f>
        <v>00144</v>
      </c>
      <c r="D17" s="4">
        <v>5996059236</v>
      </c>
      <c r="E17" s="5">
        <v>44495</v>
      </c>
      <c r="F17" s="4">
        <v>2950</v>
      </c>
      <c r="G17" s="4">
        <v>104289</v>
      </c>
      <c r="H17" s="4" t="s">
        <v>56</v>
      </c>
      <c r="I17" s="4">
        <v>966460388</v>
      </c>
      <c r="J17" s="4" t="s">
        <v>57</v>
      </c>
      <c r="K17" s="4" t="s">
        <v>58</v>
      </c>
      <c r="L17" s="6">
        <v>-5115</v>
      </c>
      <c r="M17" s="6">
        <v>-5115</v>
      </c>
      <c r="N17" s="5">
        <v>44519</v>
      </c>
      <c r="O17" s="5">
        <v>44593</v>
      </c>
      <c r="P17" s="4" t="s">
        <v>26</v>
      </c>
    </row>
    <row r="18" spans="1:16">
      <c r="A18" s="4" t="s">
        <v>22</v>
      </c>
      <c r="B18" s="5">
        <v>44487</v>
      </c>
      <c r="C18" s="4" t="str">
        <f>"SF00035508"</f>
        <v>SF00035508</v>
      </c>
      <c r="D18" s="4">
        <v>6016251071</v>
      </c>
      <c r="E18" s="5">
        <v>44497</v>
      </c>
      <c r="F18" s="4">
        <v>2966</v>
      </c>
      <c r="G18" s="4">
        <v>3066</v>
      </c>
      <c r="H18" s="4" t="s">
        <v>38</v>
      </c>
      <c r="I18" s="4">
        <v>2322600541</v>
      </c>
      <c r="J18" s="4" t="s">
        <v>39</v>
      </c>
      <c r="K18" s="4" t="s">
        <v>40</v>
      </c>
      <c r="L18" s="6">
        <v>38482.1</v>
      </c>
      <c r="M18" s="6">
        <v>34983.730000000003</v>
      </c>
      <c r="N18" s="5">
        <v>44522</v>
      </c>
      <c r="O18" s="5">
        <v>44609</v>
      </c>
      <c r="P18" s="4" t="s">
        <v>41</v>
      </c>
    </row>
    <row r="19" spans="1:16">
      <c r="A19" s="4" t="s">
        <v>17</v>
      </c>
      <c r="B19" s="5">
        <v>44487</v>
      </c>
      <c r="C19" s="4" t="str">
        <f>"5950244535"</f>
        <v>5950244535</v>
      </c>
      <c r="D19" s="4">
        <v>5993091791</v>
      </c>
      <c r="E19" s="5">
        <v>44490</v>
      </c>
      <c r="F19" s="4">
        <v>2928</v>
      </c>
      <c r="G19" s="4">
        <v>6611</v>
      </c>
      <c r="H19" s="4" t="s">
        <v>59</v>
      </c>
      <c r="I19" s="4">
        <v>8526440154</v>
      </c>
      <c r="J19" s="4" t="s">
        <v>60</v>
      </c>
      <c r="K19" s="4" t="s">
        <v>61</v>
      </c>
      <c r="L19" s="4">
        <v>-3.36</v>
      </c>
      <c r="M19" s="4">
        <v>-2.75</v>
      </c>
      <c r="N19" s="5">
        <v>44529</v>
      </c>
      <c r="O19" s="4"/>
      <c r="P19" s="4" t="s">
        <v>21</v>
      </c>
    </row>
    <row r="20" spans="1:16">
      <c r="A20" s="4" t="s">
        <v>22</v>
      </c>
      <c r="B20" s="5">
        <v>44484</v>
      </c>
      <c r="C20" s="4" t="str">
        <f>"SF00035465"</f>
        <v>SF00035465</v>
      </c>
      <c r="D20" s="4">
        <v>5979877239</v>
      </c>
      <c r="E20" s="5">
        <v>44502</v>
      </c>
      <c r="F20" s="4">
        <v>2978</v>
      </c>
      <c r="G20" s="4">
        <v>3066</v>
      </c>
      <c r="H20" s="4" t="s">
        <v>38</v>
      </c>
      <c r="I20" s="4">
        <v>2322600541</v>
      </c>
      <c r="J20" s="4" t="s">
        <v>39</v>
      </c>
      <c r="K20" s="4" t="s">
        <v>62</v>
      </c>
      <c r="L20" s="6">
        <v>33608.120000000003</v>
      </c>
      <c r="M20" s="6">
        <v>30552.84</v>
      </c>
      <c r="N20" s="5">
        <v>44515</v>
      </c>
      <c r="O20" s="5">
        <v>44609</v>
      </c>
      <c r="P20" s="4" t="s">
        <v>41</v>
      </c>
    </row>
    <row r="21" spans="1:16">
      <c r="A21" s="4" t="s">
        <v>22</v>
      </c>
      <c r="B21" s="5">
        <v>44469</v>
      </c>
      <c r="C21" s="4" t="str">
        <f>"5200023375"</f>
        <v>5200023375</v>
      </c>
      <c r="D21" s="4">
        <v>5927731120</v>
      </c>
      <c r="E21" s="5">
        <v>44488</v>
      </c>
      <c r="F21" s="4">
        <v>2866</v>
      </c>
      <c r="G21" s="4">
        <v>509</v>
      </c>
      <c r="H21" s="4" t="s">
        <v>63</v>
      </c>
      <c r="I21" s="4">
        <v>464110352</v>
      </c>
      <c r="J21" s="4" t="s">
        <v>64</v>
      </c>
      <c r="K21" s="4" t="s">
        <v>65</v>
      </c>
      <c r="L21" s="6">
        <v>11248.27</v>
      </c>
      <c r="M21" s="6">
        <v>10815.64</v>
      </c>
      <c r="N21" s="5">
        <v>44560</v>
      </c>
      <c r="O21" s="5">
        <v>44568</v>
      </c>
      <c r="P21" s="4" t="s">
        <v>26</v>
      </c>
    </row>
    <row r="22" spans="1:16">
      <c r="A22" s="4" t="s">
        <v>22</v>
      </c>
      <c r="B22" s="5">
        <v>44469</v>
      </c>
      <c r="C22" s="4" t="str">
        <f>"5200023735"</f>
        <v>5200023735</v>
      </c>
      <c r="D22" s="4">
        <v>5947512377</v>
      </c>
      <c r="E22" s="5">
        <v>44483</v>
      </c>
      <c r="F22" s="4">
        <v>2779</v>
      </c>
      <c r="G22" s="4">
        <v>509</v>
      </c>
      <c r="H22" s="4" t="s">
        <v>63</v>
      </c>
      <c r="I22" s="4">
        <v>464110352</v>
      </c>
      <c r="J22" s="4" t="s">
        <v>64</v>
      </c>
      <c r="K22" s="4" t="s">
        <v>66</v>
      </c>
      <c r="L22" s="6">
        <v>3133.02</v>
      </c>
      <c r="M22" s="6">
        <v>2848.2</v>
      </c>
      <c r="N22" s="5">
        <v>44560</v>
      </c>
      <c r="O22" s="5">
        <v>44568</v>
      </c>
      <c r="P22" s="4" t="s">
        <v>26</v>
      </c>
    </row>
    <row r="23" spans="1:16">
      <c r="A23" s="4" t="s">
        <v>22</v>
      </c>
      <c r="B23" s="5">
        <v>44469</v>
      </c>
      <c r="C23" s="4" t="str">
        <f>"5200023757"</f>
        <v>5200023757</v>
      </c>
      <c r="D23" s="4">
        <v>5947512674</v>
      </c>
      <c r="E23" s="5">
        <v>44483</v>
      </c>
      <c r="F23" s="4">
        <v>2778</v>
      </c>
      <c r="G23" s="4">
        <v>509</v>
      </c>
      <c r="H23" s="4" t="s">
        <v>63</v>
      </c>
      <c r="I23" s="4">
        <v>464110352</v>
      </c>
      <c r="J23" s="4" t="s">
        <v>64</v>
      </c>
      <c r="K23" s="4" t="s">
        <v>67</v>
      </c>
      <c r="L23" s="6">
        <v>1773.31</v>
      </c>
      <c r="M23" s="6">
        <v>1612.1</v>
      </c>
      <c r="N23" s="5">
        <v>44560</v>
      </c>
      <c r="O23" s="5">
        <v>44568</v>
      </c>
      <c r="P23" s="4" t="s">
        <v>26</v>
      </c>
    </row>
    <row r="24" spans="1:16">
      <c r="A24" s="4" t="s">
        <v>22</v>
      </c>
      <c r="B24" s="5">
        <v>44469</v>
      </c>
      <c r="C24" s="4" t="str">
        <f>"7174/E"</f>
        <v>7174/E</v>
      </c>
      <c r="D24" s="4">
        <v>5938259222</v>
      </c>
      <c r="E24" s="5">
        <v>44481</v>
      </c>
      <c r="F24" s="4">
        <v>2765</v>
      </c>
      <c r="G24" s="4">
        <v>7796</v>
      </c>
      <c r="H24" s="4" t="s">
        <v>45</v>
      </c>
      <c r="I24" s="4">
        <v>4105740486</v>
      </c>
      <c r="J24" s="4" t="s">
        <v>46</v>
      </c>
      <c r="K24" s="4" t="s">
        <v>47</v>
      </c>
      <c r="L24" s="4">
        <v>203.25</v>
      </c>
      <c r="M24" s="4">
        <v>203.25</v>
      </c>
      <c r="N24" s="5">
        <v>44510</v>
      </c>
      <c r="O24" s="5">
        <v>44581</v>
      </c>
      <c r="P24" s="4" t="s">
        <v>37</v>
      </c>
    </row>
    <row r="25" spans="1:16">
      <c r="A25" s="4" t="s">
        <v>22</v>
      </c>
      <c r="B25" s="5">
        <v>44469</v>
      </c>
      <c r="C25" s="4" t="str">
        <f>"7175/E"</f>
        <v>7175/E</v>
      </c>
      <c r="D25" s="4">
        <v>5938259273</v>
      </c>
      <c r="E25" s="5">
        <v>44481</v>
      </c>
      <c r="F25" s="4">
        <v>2766</v>
      </c>
      <c r="G25" s="4">
        <v>7796</v>
      </c>
      <c r="H25" s="4" t="s">
        <v>45</v>
      </c>
      <c r="I25" s="4">
        <v>4105740486</v>
      </c>
      <c r="J25" s="4" t="s">
        <v>46</v>
      </c>
      <c r="K25" s="4" t="s">
        <v>47</v>
      </c>
      <c r="L25" s="4">
        <v>132.53</v>
      </c>
      <c r="M25" s="4">
        <v>132.53</v>
      </c>
      <c r="N25" s="5">
        <v>44510</v>
      </c>
      <c r="O25" s="5">
        <v>44581</v>
      </c>
      <c r="P25" s="4" t="s">
        <v>37</v>
      </c>
    </row>
    <row r="26" spans="1:16">
      <c r="A26" s="4" t="s">
        <v>22</v>
      </c>
      <c r="B26" s="5">
        <v>44469</v>
      </c>
      <c r="C26" s="4" t="str">
        <f>"00117"</f>
        <v>00117</v>
      </c>
      <c r="D26" s="4">
        <v>5866806907</v>
      </c>
      <c r="E26" s="5">
        <v>44470</v>
      </c>
      <c r="F26" s="4">
        <v>2671</v>
      </c>
      <c r="G26" s="4">
        <v>104289</v>
      </c>
      <c r="H26" s="4" t="s">
        <v>56</v>
      </c>
      <c r="I26" s="4">
        <v>966460388</v>
      </c>
      <c r="J26" s="4" t="s">
        <v>57</v>
      </c>
      <c r="K26" s="4" t="s">
        <v>68</v>
      </c>
      <c r="L26" s="6">
        <v>5115</v>
      </c>
      <c r="M26" s="6">
        <v>5115</v>
      </c>
      <c r="N26" s="5">
        <v>44499</v>
      </c>
      <c r="O26" s="5">
        <v>44593</v>
      </c>
      <c r="P26" s="4" t="s">
        <v>26</v>
      </c>
    </row>
    <row r="27" spans="1:16">
      <c r="A27" s="4" t="s">
        <v>22</v>
      </c>
      <c r="B27" s="5">
        <v>44463</v>
      </c>
      <c r="C27" s="4" t="str">
        <f>"S0121FEL00076"</f>
        <v>S0121FEL00076</v>
      </c>
      <c r="D27" s="4">
        <v>5836215426</v>
      </c>
      <c r="E27" s="5">
        <v>44474</v>
      </c>
      <c r="F27" s="4">
        <v>2690</v>
      </c>
      <c r="G27" s="4">
        <v>1037</v>
      </c>
      <c r="H27" s="4" t="s">
        <v>69</v>
      </c>
      <c r="I27" s="4">
        <v>51510386</v>
      </c>
      <c r="J27" s="4" t="s">
        <v>70</v>
      </c>
      <c r="K27" s="4" t="s">
        <v>71</v>
      </c>
      <c r="L27" s="6">
        <v>7351.57</v>
      </c>
      <c r="M27" s="6">
        <v>6025.88</v>
      </c>
      <c r="N27" s="5">
        <v>44493</v>
      </c>
      <c r="O27" s="4"/>
      <c r="P27" s="4" t="s">
        <v>55</v>
      </c>
    </row>
    <row r="28" spans="1:16">
      <c r="A28" s="4" t="s">
        <v>17</v>
      </c>
      <c r="B28" s="5">
        <v>44455</v>
      </c>
      <c r="C28" s="4" t="str">
        <f>"5950233226"</f>
        <v>5950233226</v>
      </c>
      <c r="D28" s="4">
        <v>5804671497</v>
      </c>
      <c r="E28" s="5">
        <v>44459</v>
      </c>
      <c r="F28" s="4">
        <v>2600</v>
      </c>
      <c r="G28" s="4">
        <v>6611</v>
      </c>
      <c r="H28" s="4" t="s">
        <v>59</v>
      </c>
      <c r="I28" s="4">
        <v>8526440154</v>
      </c>
      <c r="J28" s="4" t="s">
        <v>60</v>
      </c>
      <c r="K28" s="4" t="s">
        <v>72</v>
      </c>
      <c r="L28" s="4">
        <v>-145.18</v>
      </c>
      <c r="M28" s="4">
        <v>-119</v>
      </c>
      <c r="N28" s="5">
        <v>44496</v>
      </c>
      <c r="O28" s="4"/>
      <c r="P28" s="4" t="s">
        <v>21</v>
      </c>
    </row>
    <row r="29" spans="1:16">
      <c r="A29" s="4" t="s">
        <v>22</v>
      </c>
      <c r="B29" s="5">
        <v>44442</v>
      </c>
      <c r="C29" s="4" t="str">
        <f>"2021-PA482"</f>
        <v>2021-PA482</v>
      </c>
      <c r="D29" s="4">
        <v>5720238857</v>
      </c>
      <c r="E29" s="5">
        <v>44466</v>
      </c>
      <c r="F29" s="4">
        <v>2634</v>
      </c>
      <c r="G29" s="4">
        <v>109391</v>
      </c>
      <c r="H29" s="4" t="s">
        <v>42</v>
      </c>
      <c r="I29" s="4">
        <v>8891240965</v>
      </c>
      <c r="J29" s="4" t="s">
        <v>43</v>
      </c>
      <c r="K29" s="4" t="s">
        <v>73</v>
      </c>
      <c r="L29" s="4">
        <v>366</v>
      </c>
      <c r="M29" s="4">
        <v>300</v>
      </c>
      <c r="N29" s="5">
        <v>44473</v>
      </c>
      <c r="O29" s="4"/>
      <c r="P29" s="4" t="s">
        <v>26</v>
      </c>
    </row>
    <row r="30" spans="1:16">
      <c r="A30" s="4" t="s">
        <v>22</v>
      </c>
      <c r="B30" s="5">
        <v>44439</v>
      </c>
      <c r="C30" s="4" t="str">
        <f>"6322/E"</f>
        <v>6322/E</v>
      </c>
      <c r="D30" s="4">
        <v>5771477822</v>
      </c>
      <c r="E30" s="5">
        <v>44455</v>
      </c>
      <c r="F30" s="4">
        <v>2528</v>
      </c>
      <c r="G30" s="4">
        <v>7796</v>
      </c>
      <c r="H30" s="4" t="s">
        <v>45</v>
      </c>
      <c r="I30" s="4">
        <v>4105740486</v>
      </c>
      <c r="J30" s="4" t="s">
        <v>46</v>
      </c>
      <c r="K30" s="4" t="s">
        <v>47</v>
      </c>
      <c r="L30" s="4">
        <v>21.66</v>
      </c>
      <c r="M30" s="4">
        <v>21.66</v>
      </c>
      <c r="N30" s="5">
        <v>44482</v>
      </c>
      <c r="O30" s="5">
        <v>44581</v>
      </c>
      <c r="P30" s="4" t="s">
        <v>37</v>
      </c>
    </row>
    <row r="31" spans="1:16">
      <c r="A31" s="4" t="s">
        <v>22</v>
      </c>
      <c r="B31" s="5">
        <v>44439</v>
      </c>
      <c r="C31" s="4" t="str">
        <f>"6334/E"</f>
        <v>6334/E</v>
      </c>
      <c r="D31" s="4">
        <v>5771478264</v>
      </c>
      <c r="E31" s="5">
        <v>44455</v>
      </c>
      <c r="F31" s="4">
        <v>2529</v>
      </c>
      <c r="G31" s="4">
        <v>7796</v>
      </c>
      <c r="H31" s="4" t="s">
        <v>45</v>
      </c>
      <c r="I31" s="4">
        <v>4105740486</v>
      </c>
      <c r="J31" s="4" t="s">
        <v>46</v>
      </c>
      <c r="K31" s="4" t="s">
        <v>47</v>
      </c>
      <c r="L31" s="4">
        <v>372</v>
      </c>
      <c r="M31" s="4">
        <v>372</v>
      </c>
      <c r="N31" s="5">
        <v>44482</v>
      </c>
      <c r="O31" s="5">
        <v>44581</v>
      </c>
      <c r="P31" s="4" t="s">
        <v>37</v>
      </c>
    </row>
    <row r="32" spans="1:16">
      <c r="A32" s="4" t="s">
        <v>22</v>
      </c>
      <c r="B32" s="5">
        <v>44439</v>
      </c>
      <c r="C32" s="4" t="str">
        <f>"6335/E"</f>
        <v>6335/E</v>
      </c>
      <c r="D32" s="4">
        <v>5771478277</v>
      </c>
      <c r="E32" s="5">
        <v>44455</v>
      </c>
      <c r="F32" s="4">
        <v>2527</v>
      </c>
      <c r="G32" s="4">
        <v>7796</v>
      </c>
      <c r="H32" s="4" t="s">
        <v>45</v>
      </c>
      <c r="I32" s="4">
        <v>4105740486</v>
      </c>
      <c r="J32" s="4" t="s">
        <v>46</v>
      </c>
      <c r="K32" s="4" t="s">
        <v>47</v>
      </c>
      <c r="L32" s="4">
        <v>180.73</v>
      </c>
      <c r="M32" s="4">
        <v>180.73</v>
      </c>
      <c r="N32" s="5">
        <v>44482</v>
      </c>
      <c r="O32" s="5">
        <v>44581</v>
      </c>
      <c r="P32" s="4" t="s">
        <v>37</v>
      </c>
    </row>
    <row r="33" spans="1:16">
      <c r="A33" s="4" t="s">
        <v>22</v>
      </c>
      <c r="B33" s="5">
        <v>44438</v>
      </c>
      <c r="C33" s="4" t="str">
        <f>"576/PA"</f>
        <v>576/PA</v>
      </c>
      <c r="D33" s="4">
        <v>5688924523</v>
      </c>
      <c r="E33" s="5">
        <v>44456</v>
      </c>
      <c r="F33" s="4">
        <v>2536</v>
      </c>
      <c r="G33" s="4">
        <v>3520</v>
      </c>
      <c r="H33" s="4" t="s">
        <v>74</v>
      </c>
      <c r="I33" s="4">
        <v>975280389</v>
      </c>
      <c r="J33" s="4" t="s">
        <v>75</v>
      </c>
      <c r="K33" s="4" t="s">
        <v>76</v>
      </c>
      <c r="L33" s="6">
        <v>1108.5999999999999</v>
      </c>
      <c r="M33" s="4">
        <v>908.69</v>
      </c>
      <c r="N33" s="5">
        <v>44530</v>
      </c>
      <c r="O33" s="5">
        <v>44608</v>
      </c>
      <c r="P33" s="4" t="s">
        <v>55</v>
      </c>
    </row>
    <row r="34" spans="1:16">
      <c r="A34" s="4" t="s">
        <v>22</v>
      </c>
      <c r="B34" s="5">
        <v>44410</v>
      </c>
      <c r="C34" s="4" t="str">
        <f>"2021-PA406"</f>
        <v>2021-PA406</v>
      </c>
      <c r="D34" s="4">
        <v>5757517633</v>
      </c>
      <c r="E34" s="5">
        <v>44456</v>
      </c>
      <c r="F34" s="4">
        <v>2535</v>
      </c>
      <c r="G34" s="4">
        <v>109391</v>
      </c>
      <c r="H34" s="4" t="s">
        <v>42</v>
      </c>
      <c r="I34" s="4">
        <v>8891240965</v>
      </c>
      <c r="J34" s="4" t="s">
        <v>43</v>
      </c>
      <c r="K34" s="4" t="s">
        <v>77</v>
      </c>
      <c r="L34" s="4">
        <v>366</v>
      </c>
      <c r="M34" s="4">
        <v>300</v>
      </c>
      <c r="N34" s="5">
        <v>44479</v>
      </c>
      <c r="O34" s="4"/>
      <c r="P34" s="4" t="s">
        <v>26</v>
      </c>
    </row>
    <row r="35" spans="1:16">
      <c r="A35" s="4" t="s">
        <v>17</v>
      </c>
      <c r="B35" s="5">
        <v>44396</v>
      </c>
      <c r="C35" s="4" t="str">
        <f>"5950227288"</f>
        <v>5950227288</v>
      </c>
      <c r="D35" s="4">
        <v>5463977249</v>
      </c>
      <c r="E35" s="5">
        <v>44399</v>
      </c>
      <c r="F35" s="4">
        <v>2037</v>
      </c>
      <c r="G35" s="4">
        <v>6611</v>
      </c>
      <c r="H35" s="4" t="s">
        <v>59</v>
      </c>
      <c r="I35" s="4">
        <v>8526440154</v>
      </c>
      <c r="J35" s="4" t="s">
        <v>60</v>
      </c>
      <c r="K35" s="4" t="s">
        <v>78</v>
      </c>
      <c r="L35" s="6">
        <v>-1694.82</v>
      </c>
      <c r="M35" s="6">
        <v>-1409.9</v>
      </c>
      <c r="N35" s="5">
        <v>44426</v>
      </c>
      <c r="O35" s="4"/>
      <c r="P35" s="4" t="s">
        <v>21</v>
      </c>
    </row>
    <row r="36" spans="1:16">
      <c r="A36" s="4" t="s">
        <v>22</v>
      </c>
      <c r="B36" s="5">
        <v>44378</v>
      </c>
      <c r="C36" s="4" t="str">
        <f>"2021-D5409"</f>
        <v>2021-D5409</v>
      </c>
      <c r="D36" s="4">
        <v>5351732798</v>
      </c>
      <c r="E36" s="5">
        <v>44397</v>
      </c>
      <c r="F36" s="4">
        <v>2007</v>
      </c>
      <c r="G36" s="4">
        <v>109391</v>
      </c>
      <c r="H36" s="4" t="s">
        <v>42</v>
      </c>
      <c r="I36" s="4">
        <v>8891240965</v>
      </c>
      <c r="J36" s="4" t="s">
        <v>43</v>
      </c>
      <c r="K36" s="4" t="s">
        <v>79</v>
      </c>
      <c r="L36" s="4">
        <v>366</v>
      </c>
      <c r="M36" s="4">
        <v>300</v>
      </c>
      <c r="N36" s="5">
        <v>44411</v>
      </c>
      <c r="O36" s="4"/>
      <c r="P36" s="4" t="s">
        <v>26</v>
      </c>
    </row>
    <row r="37" spans="1:16">
      <c r="A37" s="4" t="s">
        <v>22</v>
      </c>
      <c r="B37" s="5">
        <v>44377</v>
      </c>
      <c r="C37" s="4" t="str">
        <f>"FATTPA 2_21"</f>
        <v>FATTPA 2_21</v>
      </c>
      <c r="D37" s="4">
        <v>5336352487</v>
      </c>
      <c r="E37" s="5">
        <v>44396</v>
      </c>
      <c r="F37" s="4">
        <v>1997</v>
      </c>
      <c r="G37" s="4">
        <v>7556</v>
      </c>
      <c r="H37" s="4" t="s">
        <v>80</v>
      </c>
      <c r="I37" s="4">
        <v>1576070898</v>
      </c>
      <c r="J37" s="4" t="s">
        <v>81</v>
      </c>
      <c r="K37" s="4" t="s">
        <v>82</v>
      </c>
      <c r="L37" s="6">
        <v>53587.77</v>
      </c>
      <c r="M37" s="6">
        <v>43924.4</v>
      </c>
      <c r="N37" s="5">
        <v>44407</v>
      </c>
      <c r="O37" s="4"/>
      <c r="P37" s="4" t="s">
        <v>83</v>
      </c>
    </row>
    <row r="38" spans="1:16">
      <c r="A38" s="4" t="s">
        <v>17</v>
      </c>
      <c r="B38" s="5">
        <v>44375</v>
      </c>
      <c r="C38" s="4" t="str">
        <f>"112103938158"</f>
        <v>112103938158</v>
      </c>
      <c r="D38" s="4">
        <v>5329301757</v>
      </c>
      <c r="E38" s="5">
        <v>44390</v>
      </c>
      <c r="F38" s="4">
        <v>1915</v>
      </c>
      <c r="G38" s="4">
        <v>5822</v>
      </c>
      <c r="H38" s="4" t="s">
        <v>52</v>
      </c>
      <c r="I38" s="4">
        <v>4245520376</v>
      </c>
      <c r="J38" s="4" t="s">
        <v>19</v>
      </c>
      <c r="K38" s="4" t="s">
        <v>84</v>
      </c>
      <c r="L38" s="4">
        <v>-181.36</v>
      </c>
      <c r="M38" s="4">
        <v>-164.87</v>
      </c>
      <c r="N38" s="5">
        <v>44435</v>
      </c>
      <c r="O38" s="4"/>
      <c r="P38" s="4" t="s">
        <v>21</v>
      </c>
    </row>
    <row r="39" spans="1:16">
      <c r="A39" s="4" t="s">
        <v>17</v>
      </c>
      <c r="B39" s="5">
        <v>44375</v>
      </c>
      <c r="C39" s="4" t="str">
        <f>"112103938162"</f>
        <v>112103938162</v>
      </c>
      <c r="D39" s="4">
        <v>5328908279</v>
      </c>
      <c r="E39" s="5">
        <v>44390</v>
      </c>
      <c r="F39" s="4">
        <v>1920</v>
      </c>
      <c r="G39" s="4">
        <v>5822</v>
      </c>
      <c r="H39" s="4" t="s">
        <v>52</v>
      </c>
      <c r="I39" s="4">
        <v>4245520376</v>
      </c>
      <c r="J39" s="4" t="s">
        <v>19</v>
      </c>
      <c r="K39" s="4" t="s">
        <v>85</v>
      </c>
      <c r="L39" s="4">
        <v>-197.26</v>
      </c>
      <c r="M39" s="4">
        <v>-179.33</v>
      </c>
      <c r="N39" s="5">
        <v>44435</v>
      </c>
      <c r="O39" s="4"/>
      <c r="P39" s="4" t="s">
        <v>21</v>
      </c>
    </row>
    <row r="40" spans="1:16">
      <c r="A40" s="4" t="s">
        <v>17</v>
      </c>
      <c r="B40" s="5">
        <v>44375</v>
      </c>
      <c r="C40" s="4" t="str">
        <f>"112103938206"</f>
        <v>112103938206</v>
      </c>
      <c r="D40" s="4">
        <v>5329071294</v>
      </c>
      <c r="E40" s="5">
        <v>44390</v>
      </c>
      <c r="F40" s="4">
        <v>1924</v>
      </c>
      <c r="G40" s="4">
        <v>5822</v>
      </c>
      <c r="H40" s="4" t="s">
        <v>52</v>
      </c>
      <c r="I40" s="4">
        <v>4245520376</v>
      </c>
      <c r="J40" s="4" t="s">
        <v>19</v>
      </c>
      <c r="K40" s="4" t="s">
        <v>86</v>
      </c>
      <c r="L40" s="4">
        <v>-372.92</v>
      </c>
      <c r="M40" s="4">
        <v>-339.02</v>
      </c>
      <c r="N40" s="5">
        <v>44435</v>
      </c>
      <c r="O40" s="5">
        <v>44588</v>
      </c>
      <c r="P40" s="4" t="s">
        <v>21</v>
      </c>
    </row>
    <row r="41" spans="1:16">
      <c r="A41" s="4" t="s">
        <v>17</v>
      </c>
      <c r="B41" s="5">
        <v>44375</v>
      </c>
      <c r="C41" s="4" t="str">
        <f>"112103938213"</f>
        <v>112103938213</v>
      </c>
      <c r="D41" s="4">
        <v>5328993131</v>
      </c>
      <c r="E41" s="5">
        <v>44390</v>
      </c>
      <c r="F41" s="4">
        <v>1916</v>
      </c>
      <c r="G41" s="4">
        <v>5822</v>
      </c>
      <c r="H41" s="4" t="s">
        <v>52</v>
      </c>
      <c r="I41" s="4">
        <v>4245520376</v>
      </c>
      <c r="J41" s="4" t="s">
        <v>19</v>
      </c>
      <c r="K41" s="4" t="s">
        <v>87</v>
      </c>
      <c r="L41" s="4">
        <v>-241.82</v>
      </c>
      <c r="M41" s="4">
        <v>-219.84</v>
      </c>
      <c r="N41" s="5">
        <v>44435</v>
      </c>
      <c r="O41" s="4"/>
      <c r="P41" s="4" t="s">
        <v>21</v>
      </c>
    </row>
    <row r="42" spans="1:16">
      <c r="A42" s="4" t="s">
        <v>22</v>
      </c>
      <c r="B42" s="5">
        <v>44348</v>
      </c>
      <c r="C42" s="4" t="str">
        <f>"2021-PA306"</f>
        <v>2021-PA306</v>
      </c>
      <c r="D42" s="4">
        <v>5168808711</v>
      </c>
      <c r="E42" s="5">
        <v>44354</v>
      </c>
      <c r="F42" s="4">
        <v>1525</v>
      </c>
      <c r="G42" s="4">
        <v>109391</v>
      </c>
      <c r="H42" s="4" t="s">
        <v>42</v>
      </c>
      <c r="I42" s="4">
        <v>8891240965</v>
      </c>
      <c r="J42" s="4" t="s">
        <v>43</v>
      </c>
      <c r="K42" s="4" t="s">
        <v>88</v>
      </c>
      <c r="L42" s="4">
        <v>366</v>
      </c>
      <c r="M42" s="4">
        <v>300</v>
      </c>
      <c r="N42" s="5">
        <v>44379</v>
      </c>
      <c r="O42" s="4"/>
      <c r="P42" s="4" t="s">
        <v>26</v>
      </c>
    </row>
    <row r="43" spans="1:16">
      <c r="A43" s="4" t="s">
        <v>22</v>
      </c>
      <c r="B43" s="5">
        <v>44341</v>
      </c>
      <c r="C43" s="4" t="str">
        <f>"5/PA"</f>
        <v>5/PA</v>
      </c>
      <c r="D43" s="4">
        <v>5119983273</v>
      </c>
      <c r="E43" s="5">
        <v>44358</v>
      </c>
      <c r="F43" s="4">
        <v>1558</v>
      </c>
      <c r="G43" s="4">
        <v>2908</v>
      </c>
      <c r="H43" s="4" t="s">
        <v>89</v>
      </c>
      <c r="I43" s="4">
        <v>837680388</v>
      </c>
      <c r="J43" s="4" t="s">
        <v>90</v>
      </c>
      <c r="K43" s="4" t="s">
        <v>91</v>
      </c>
      <c r="L43" s="6">
        <v>2440</v>
      </c>
      <c r="M43" s="6">
        <v>2000</v>
      </c>
      <c r="N43" s="5">
        <v>44372</v>
      </c>
      <c r="O43" s="4"/>
      <c r="P43" s="4" t="s">
        <v>37</v>
      </c>
    </row>
    <row r="44" spans="1:16">
      <c r="A44" s="4" t="s">
        <v>22</v>
      </c>
      <c r="B44" s="5">
        <v>44329</v>
      </c>
      <c r="C44" s="4" t="str">
        <f>"291/PA"</f>
        <v>291/PA</v>
      </c>
      <c r="D44" s="4">
        <v>5121739493</v>
      </c>
      <c r="E44" s="5">
        <v>44358</v>
      </c>
      <c r="F44" s="4">
        <v>1572</v>
      </c>
      <c r="G44" s="4">
        <v>3520</v>
      </c>
      <c r="H44" s="4" t="s">
        <v>74</v>
      </c>
      <c r="I44" s="4">
        <v>975280389</v>
      </c>
      <c r="J44" s="4" t="s">
        <v>75</v>
      </c>
      <c r="K44" s="4" t="s">
        <v>92</v>
      </c>
      <c r="L44" s="4">
        <v>701.98</v>
      </c>
      <c r="M44" s="4">
        <v>575.39</v>
      </c>
      <c r="N44" s="5">
        <v>44439</v>
      </c>
      <c r="O44" s="5">
        <v>44608</v>
      </c>
      <c r="P44" s="4" t="s">
        <v>55</v>
      </c>
    </row>
    <row r="45" spans="1:16">
      <c r="A45" s="4" t="s">
        <v>17</v>
      </c>
      <c r="B45" s="5">
        <v>44328</v>
      </c>
      <c r="C45" s="4" t="str">
        <f>"302180161366"</f>
        <v>302180161366</v>
      </c>
      <c r="D45" s="4">
        <v>5065603783</v>
      </c>
      <c r="E45" s="5">
        <v>44334</v>
      </c>
      <c r="F45" s="4">
        <v>1323</v>
      </c>
      <c r="G45" s="4">
        <v>1925</v>
      </c>
      <c r="H45" s="4" t="s">
        <v>93</v>
      </c>
      <c r="I45" s="4">
        <v>488410010</v>
      </c>
      <c r="J45" s="4" t="s">
        <v>94</v>
      </c>
      <c r="K45" s="4" t="s">
        <v>95</v>
      </c>
      <c r="L45" s="4">
        <v>-122.07</v>
      </c>
      <c r="M45" s="4">
        <v>-100.06</v>
      </c>
      <c r="N45" s="5">
        <v>44361</v>
      </c>
      <c r="O45" s="4"/>
      <c r="P45" s="4" t="s">
        <v>21</v>
      </c>
    </row>
    <row r="46" spans="1:16">
      <c r="A46" s="4" t="s">
        <v>17</v>
      </c>
      <c r="B46" s="5">
        <v>44328</v>
      </c>
      <c r="C46" s="4" t="str">
        <f>"302180161367"</f>
        <v>302180161367</v>
      </c>
      <c r="D46" s="4">
        <v>5065554729</v>
      </c>
      <c r="E46" s="5">
        <v>44334</v>
      </c>
      <c r="F46" s="4">
        <v>1322</v>
      </c>
      <c r="G46" s="4">
        <v>1925</v>
      </c>
      <c r="H46" s="4" t="s">
        <v>93</v>
      </c>
      <c r="I46" s="4">
        <v>488410010</v>
      </c>
      <c r="J46" s="4" t="s">
        <v>94</v>
      </c>
      <c r="K46" s="4" t="s">
        <v>96</v>
      </c>
      <c r="L46" s="4">
        <v>-122.07</v>
      </c>
      <c r="M46" s="4">
        <v>-100.06</v>
      </c>
      <c r="N46" s="5">
        <v>44360</v>
      </c>
      <c r="O46" s="4"/>
      <c r="P46" s="4" t="s">
        <v>21</v>
      </c>
    </row>
    <row r="47" spans="1:16">
      <c r="A47" s="4" t="s">
        <v>17</v>
      </c>
      <c r="B47" s="5">
        <v>44328</v>
      </c>
      <c r="C47" s="4" t="str">
        <f>"302180161369"</f>
        <v>302180161369</v>
      </c>
      <c r="D47" s="4">
        <v>5065631173</v>
      </c>
      <c r="E47" s="5">
        <v>44334</v>
      </c>
      <c r="F47" s="4">
        <v>1325</v>
      </c>
      <c r="G47" s="4">
        <v>1925</v>
      </c>
      <c r="H47" s="4" t="s">
        <v>93</v>
      </c>
      <c r="I47" s="4">
        <v>488410010</v>
      </c>
      <c r="J47" s="4" t="s">
        <v>94</v>
      </c>
      <c r="K47" s="4" t="s">
        <v>97</v>
      </c>
      <c r="L47" s="4">
        <v>-122.07</v>
      </c>
      <c r="M47" s="4">
        <v>-100.06</v>
      </c>
      <c r="N47" s="5">
        <v>44361</v>
      </c>
      <c r="O47" s="4"/>
      <c r="P47" s="4" t="s">
        <v>21</v>
      </c>
    </row>
    <row r="48" spans="1:16">
      <c r="A48" s="4" t="s">
        <v>17</v>
      </c>
      <c r="B48" s="5">
        <v>44328</v>
      </c>
      <c r="C48" s="4" t="str">
        <f>"302180161370"</f>
        <v>302180161370</v>
      </c>
      <c r="D48" s="4">
        <v>5065603230</v>
      </c>
      <c r="E48" s="5">
        <v>44334</v>
      </c>
      <c r="F48" s="4">
        <v>1321</v>
      </c>
      <c r="G48" s="4">
        <v>1925</v>
      </c>
      <c r="H48" s="4" t="s">
        <v>93</v>
      </c>
      <c r="I48" s="4">
        <v>488410010</v>
      </c>
      <c r="J48" s="4" t="s">
        <v>94</v>
      </c>
      <c r="K48" s="4" t="s">
        <v>98</v>
      </c>
      <c r="L48" s="4">
        <v>-122.07</v>
      </c>
      <c r="M48" s="4">
        <v>-100.06</v>
      </c>
      <c r="N48" s="5">
        <v>44360</v>
      </c>
      <c r="O48" s="4"/>
      <c r="P48" s="4" t="s">
        <v>21</v>
      </c>
    </row>
    <row r="49" spans="1:16">
      <c r="A49" s="4" t="s">
        <v>17</v>
      </c>
      <c r="B49" s="5">
        <v>44328</v>
      </c>
      <c r="C49" s="4" t="str">
        <f>"302180161372"</f>
        <v>302180161372</v>
      </c>
      <c r="D49" s="4">
        <v>5065551454</v>
      </c>
      <c r="E49" s="5">
        <v>44334</v>
      </c>
      <c r="F49" s="4">
        <v>1324</v>
      </c>
      <c r="G49" s="4">
        <v>1925</v>
      </c>
      <c r="H49" s="4" t="s">
        <v>93</v>
      </c>
      <c r="I49" s="4">
        <v>488410010</v>
      </c>
      <c r="J49" s="4" t="s">
        <v>94</v>
      </c>
      <c r="K49" s="4" t="s">
        <v>99</v>
      </c>
      <c r="L49" s="4">
        <v>-122.07</v>
      </c>
      <c r="M49" s="4">
        <v>-100.06</v>
      </c>
      <c r="N49" s="5">
        <v>44361</v>
      </c>
      <c r="O49" s="4"/>
      <c r="P49" s="4" t="s">
        <v>21</v>
      </c>
    </row>
    <row r="50" spans="1:16">
      <c r="A50" s="4" t="s">
        <v>17</v>
      </c>
      <c r="B50" s="5">
        <v>44327</v>
      </c>
      <c r="C50" s="4" t="str">
        <f>"1213/PA"</f>
        <v>1213/PA</v>
      </c>
      <c r="D50" s="4">
        <v>5059791041</v>
      </c>
      <c r="E50" s="5">
        <v>44330</v>
      </c>
      <c r="F50" s="4">
        <v>1284</v>
      </c>
      <c r="G50" s="4">
        <v>6358</v>
      </c>
      <c r="H50" s="4" t="s">
        <v>100</v>
      </c>
      <c r="I50" s="4">
        <v>2770891204</v>
      </c>
      <c r="J50" s="4" t="s">
        <v>101</v>
      </c>
      <c r="K50" s="4" t="s">
        <v>102</v>
      </c>
      <c r="L50" s="6">
        <v>-1755.18</v>
      </c>
      <c r="M50" s="6">
        <v>-1755.18</v>
      </c>
      <c r="N50" s="5">
        <v>44408</v>
      </c>
      <c r="O50" s="4"/>
      <c r="P50" s="4" t="s">
        <v>103</v>
      </c>
    </row>
    <row r="51" spans="1:16">
      <c r="A51" s="4" t="s">
        <v>22</v>
      </c>
      <c r="B51" s="5">
        <v>44323</v>
      </c>
      <c r="C51" s="4" t="str">
        <f>"0000921900002772"</f>
        <v>0000921900002772</v>
      </c>
      <c r="D51" s="4">
        <v>5032738355</v>
      </c>
      <c r="E51" s="5">
        <v>44342</v>
      </c>
      <c r="F51" s="4">
        <v>1456</v>
      </c>
      <c r="G51" s="4">
        <v>107437</v>
      </c>
      <c r="H51" s="4" t="s">
        <v>104</v>
      </c>
      <c r="I51" s="4">
        <v>5779711000</v>
      </c>
      <c r="J51" s="4" t="s">
        <v>39</v>
      </c>
      <c r="K51" s="4" t="s">
        <v>105</v>
      </c>
      <c r="L51" s="4">
        <v>31.12</v>
      </c>
      <c r="M51" s="4">
        <v>25.51</v>
      </c>
      <c r="N51" s="5">
        <v>44356</v>
      </c>
      <c r="O51" s="4"/>
      <c r="P51" s="4" t="s">
        <v>55</v>
      </c>
    </row>
    <row r="52" spans="1:16">
      <c r="A52" s="4" t="s">
        <v>22</v>
      </c>
      <c r="B52" s="5">
        <v>44322</v>
      </c>
      <c r="C52" s="4" t="str">
        <f>"0000921900002714"</f>
        <v>0000921900002714</v>
      </c>
      <c r="D52" s="4">
        <v>5018343899</v>
      </c>
      <c r="E52" s="5">
        <v>44340</v>
      </c>
      <c r="F52" s="4">
        <v>1410</v>
      </c>
      <c r="G52" s="4">
        <v>107437</v>
      </c>
      <c r="H52" s="4" t="s">
        <v>104</v>
      </c>
      <c r="I52" s="4">
        <v>5779711000</v>
      </c>
      <c r="J52" s="4" t="s">
        <v>39</v>
      </c>
      <c r="K52" s="4" t="s">
        <v>106</v>
      </c>
      <c r="L52" s="6">
        <v>12960.07</v>
      </c>
      <c r="M52" s="6">
        <v>10623.01</v>
      </c>
      <c r="N52" s="5">
        <v>44353</v>
      </c>
      <c r="O52" s="4"/>
      <c r="P52" s="4" t="s">
        <v>55</v>
      </c>
    </row>
    <row r="53" spans="1:16">
      <c r="A53" s="4" t="s">
        <v>22</v>
      </c>
      <c r="B53" s="5">
        <v>44315</v>
      </c>
      <c r="C53" s="4" t="str">
        <f>"4/PA"</f>
        <v>4/PA</v>
      </c>
      <c r="D53" s="4">
        <v>5018795119</v>
      </c>
      <c r="E53" s="5">
        <v>44340</v>
      </c>
      <c r="F53" s="4">
        <v>1406</v>
      </c>
      <c r="G53" s="4">
        <v>2908</v>
      </c>
      <c r="H53" s="4" t="s">
        <v>89</v>
      </c>
      <c r="I53" s="4">
        <v>837680388</v>
      </c>
      <c r="J53" s="4" t="s">
        <v>90</v>
      </c>
      <c r="K53" s="4" t="s">
        <v>91</v>
      </c>
      <c r="L53" s="6">
        <v>2500</v>
      </c>
      <c r="M53" s="4">
        <v>49.18</v>
      </c>
      <c r="N53" s="5">
        <v>44353</v>
      </c>
      <c r="O53" s="4"/>
      <c r="P53" s="4" t="s">
        <v>37</v>
      </c>
    </row>
    <row r="54" spans="1:16">
      <c r="A54" s="4" t="s">
        <v>22</v>
      </c>
      <c r="B54" s="5">
        <v>44298</v>
      </c>
      <c r="C54" s="4" t="str">
        <f>"00096"</f>
        <v>00096</v>
      </c>
      <c r="D54" s="4">
        <v>4872615236</v>
      </c>
      <c r="E54" s="5">
        <v>44301</v>
      </c>
      <c r="F54" s="4">
        <v>955</v>
      </c>
      <c r="G54" s="4">
        <v>3196</v>
      </c>
      <c r="H54" s="4" t="s">
        <v>107</v>
      </c>
      <c r="I54" s="4">
        <v>1444510380</v>
      </c>
      <c r="J54" s="4" t="s">
        <v>108</v>
      </c>
      <c r="K54" s="4" t="s">
        <v>109</v>
      </c>
      <c r="L54" s="4">
        <v>720</v>
      </c>
      <c r="M54" s="4">
        <v>0.01</v>
      </c>
      <c r="N54" s="5">
        <v>44347</v>
      </c>
      <c r="O54" s="4"/>
      <c r="P54" s="4" t="s">
        <v>37</v>
      </c>
    </row>
    <row r="55" spans="1:16">
      <c r="A55" s="4" t="s">
        <v>17</v>
      </c>
      <c r="B55" s="5">
        <v>44280</v>
      </c>
      <c r="C55" s="4" t="str">
        <f>"302180145896"</f>
        <v>302180145896</v>
      </c>
      <c r="D55" s="4">
        <v>4794723909</v>
      </c>
      <c r="E55" s="5">
        <v>44301</v>
      </c>
      <c r="F55" s="4">
        <v>958</v>
      </c>
      <c r="G55" s="4">
        <v>1925</v>
      </c>
      <c r="H55" s="4" t="s">
        <v>93</v>
      </c>
      <c r="I55" s="4">
        <v>488410010</v>
      </c>
      <c r="J55" s="4" t="s">
        <v>94</v>
      </c>
      <c r="K55" s="4" t="s">
        <v>110</v>
      </c>
      <c r="L55" s="4">
        <v>-63.04</v>
      </c>
      <c r="M55" s="4">
        <v>-52.03</v>
      </c>
      <c r="N55" s="5">
        <v>44315</v>
      </c>
      <c r="O55" s="4"/>
      <c r="P55" s="4" t="s">
        <v>21</v>
      </c>
    </row>
    <row r="56" spans="1:16">
      <c r="A56" s="4" t="s">
        <v>17</v>
      </c>
      <c r="B56" s="5">
        <v>44280</v>
      </c>
      <c r="C56" s="4" t="str">
        <f>"302180145906"</f>
        <v>302180145906</v>
      </c>
      <c r="D56" s="4">
        <v>4794702369</v>
      </c>
      <c r="E56" s="5">
        <v>44301</v>
      </c>
      <c r="F56" s="4">
        <v>960</v>
      </c>
      <c r="G56" s="4">
        <v>1925</v>
      </c>
      <c r="H56" s="4" t="s">
        <v>93</v>
      </c>
      <c r="I56" s="4">
        <v>488410010</v>
      </c>
      <c r="J56" s="4" t="s">
        <v>94</v>
      </c>
      <c r="K56" s="4" t="s">
        <v>111</v>
      </c>
      <c r="L56" s="4">
        <v>-63.04</v>
      </c>
      <c r="M56" s="4">
        <v>-52.03</v>
      </c>
      <c r="N56" s="5">
        <v>44315</v>
      </c>
      <c r="O56" s="4"/>
      <c r="P56" s="4" t="s">
        <v>21</v>
      </c>
    </row>
    <row r="57" spans="1:16">
      <c r="A57" s="4" t="s">
        <v>22</v>
      </c>
      <c r="B57" s="5">
        <v>44280</v>
      </c>
      <c r="C57" s="4" t="str">
        <f>"FATTPA 1_21"</f>
        <v>FATTPA 1_21</v>
      </c>
      <c r="D57" s="4">
        <v>4772091314</v>
      </c>
      <c r="E57" s="5">
        <v>44298</v>
      </c>
      <c r="F57" s="4">
        <v>935</v>
      </c>
      <c r="G57" s="4">
        <v>7556</v>
      </c>
      <c r="H57" s="4" t="s">
        <v>80</v>
      </c>
      <c r="I57" s="4">
        <v>1576070898</v>
      </c>
      <c r="J57" s="4" t="s">
        <v>81</v>
      </c>
      <c r="K57" s="4" t="s">
        <v>112</v>
      </c>
      <c r="L57" s="6">
        <v>80381.649999999994</v>
      </c>
      <c r="M57" s="6">
        <v>65886.600000000006</v>
      </c>
      <c r="N57" s="5">
        <v>44316</v>
      </c>
      <c r="O57" s="4"/>
      <c r="P57" s="4" t="s">
        <v>83</v>
      </c>
    </row>
    <row r="58" spans="1:16">
      <c r="A58" s="4" t="s">
        <v>17</v>
      </c>
      <c r="B58" s="5">
        <v>44273</v>
      </c>
      <c r="C58" s="4" t="str">
        <f>"5950200102"</f>
        <v>5950200102</v>
      </c>
      <c r="D58" s="4">
        <v>4743112666</v>
      </c>
      <c r="E58" s="5">
        <v>44277</v>
      </c>
      <c r="F58" s="4">
        <v>806</v>
      </c>
      <c r="G58" s="4">
        <v>6611</v>
      </c>
      <c r="H58" s="4" t="s">
        <v>59</v>
      </c>
      <c r="I58" s="4">
        <v>8526440154</v>
      </c>
      <c r="J58" s="4" t="s">
        <v>60</v>
      </c>
      <c r="K58" s="4" t="s">
        <v>113</v>
      </c>
      <c r="L58" s="6">
        <v>-3252.34</v>
      </c>
      <c r="M58" s="6">
        <v>-2665.88</v>
      </c>
      <c r="N58" s="5">
        <v>44303</v>
      </c>
      <c r="O58" s="4"/>
      <c r="P58" s="4" t="s">
        <v>21</v>
      </c>
    </row>
    <row r="59" spans="1:16">
      <c r="A59" s="4" t="s">
        <v>22</v>
      </c>
      <c r="B59" s="5">
        <v>44255</v>
      </c>
      <c r="C59" s="4" t="str">
        <f>"803/E"</f>
        <v>803/E</v>
      </c>
      <c r="D59" s="4">
        <v>4722958355</v>
      </c>
      <c r="E59" s="5">
        <v>44271</v>
      </c>
      <c r="F59" s="4">
        <v>712</v>
      </c>
      <c r="G59" s="4">
        <v>7796</v>
      </c>
      <c r="H59" s="4" t="s">
        <v>45</v>
      </c>
      <c r="I59" s="4">
        <v>4105740486</v>
      </c>
      <c r="J59" s="4" t="s">
        <v>46</v>
      </c>
      <c r="K59" s="4" t="s">
        <v>114</v>
      </c>
      <c r="L59" s="4">
        <v>5</v>
      </c>
      <c r="M59" s="4">
        <v>5</v>
      </c>
      <c r="N59" s="5">
        <v>44300</v>
      </c>
      <c r="O59" s="5">
        <v>44581</v>
      </c>
      <c r="P59" s="4" t="s">
        <v>37</v>
      </c>
    </row>
    <row r="60" spans="1:16">
      <c r="A60" s="4" t="s">
        <v>22</v>
      </c>
      <c r="B60" s="5">
        <v>44255</v>
      </c>
      <c r="C60" s="4" t="str">
        <f>"804/E"</f>
        <v>804/E</v>
      </c>
      <c r="D60" s="4">
        <v>4722958379</v>
      </c>
      <c r="E60" s="5">
        <v>44271</v>
      </c>
      <c r="F60" s="4">
        <v>713</v>
      </c>
      <c r="G60" s="4">
        <v>7796</v>
      </c>
      <c r="H60" s="4" t="s">
        <v>45</v>
      </c>
      <c r="I60" s="4">
        <v>4105740486</v>
      </c>
      <c r="J60" s="4" t="s">
        <v>46</v>
      </c>
      <c r="K60" s="4" t="s">
        <v>115</v>
      </c>
      <c r="L60" s="4">
        <v>5.26</v>
      </c>
      <c r="M60" s="4">
        <v>5.26</v>
      </c>
      <c r="N60" s="5">
        <v>44300</v>
      </c>
      <c r="O60" s="5">
        <v>44581</v>
      </c>
      <c r="P60" s="4" t="s">
        <v>37</v>
      </c>
    </row>
    <row r="61" spans="1:16">
      <c r="A61" s="4" t="s">
        <v>17</v>
      </c>
      <c r="B61" s="5">
        <v>44228</v>
      </c>
      <c r="C61" s="4" t="str">
        <f>"FPA 56/21"</f>
        <v>FPA 56/21</v>
      </c>
      <c r="D61" s="4">
        <v>4463711711</v>
      </c>
      <c r="E61" s="5">
        <v>44244</v>
      </c>
      <c r="F61" s="4">
        <v>381</v>
      </c>
      <c r="G61" s="4">
        <v>6879</v>
      </c>
      <c r="H61" s="4" t="s">
        <v>116</v>
      </c>
      <c r="I61" s="4" t="s">
        <v>117</v>
      </c>
      <c r="J61" s="4" t="s">
        <v>118</v>
      </c>
      <c r="K61" s="4" t="s">
        <v>119</v>
      </c>
      <c r="L61" s="4">
        <v>-276.94</v>
      </c>
      <c r="M61" s="4">
        <v>-227</v>
      </c>
      <c r="N61" s="5">
        <v>44288</v>
      </c>
      <c r="O61" s="4"/>
      <c r="P61" s="4" t="s">
        <v>83</v>
      </c>
    </row>
    <row r="62" spans="1:16">
      <c r="A62" s="4" t="s">
        <v>22</v>
      </c>
      <c r="B62" s="5">
        <v>44227</v>
      </c>
      <c r="C62" s="4" t="str">
        <f>"662"</f>
        <v>662</v>
      </c>
      <c r="D62" s="4">
        <v>4535605092</v>
      </c>
      <c r="E62" s="5">
        <v>44242</v>
      </c>
      <c r="F62" s="4">
        <v>363</v>
      </c>
      <c r="G62" s="4">
        <v>6090</v>
      </c>
      <c r="H62" s="4" t="s">
        <v>120</v>
      </c>
      <c r="I62" s="4">
        <v>1564380382</v>
      </c>
      <c r="J62" s="4" t="s">
        <v>121</v>
      </c>
      <c r="K62" s="4" t="s">
        <v>122</v>
      </c>
      <c r="L62" s="4">
        <v>305.8</v>
      </c>
      <c r="M62" s="4">
        <v>0.66</v>
      </c>
      <c r="N62" s="5">
        <v>44286</v>
      </c>
      <c r="O62" s="4"/>
      <c r="P62" s="4" t="s">
        <v>37</v>
      </c>
    </row>
    <row r="63" spans="1:16">
      <c r="A63" s="4" t="s">
        <v>22</v>
      </c>
      <c r="B63" s="5">
        <v>44196</v>
      </c>
      <c r="C63" s="4" t="str">
        <f>"201PA"</f>
        <v>201PA</v>
      </c>
      <c r="D63" s="4">
        <v>4312868707</v>
      </c>
      <c r="E63" s="5">
        <v>44215</v>
      </c>
      <c r="F63" s="4">
        <v>147</v>
      </c>
      <c r="G63" s="4">
        <v>106512</v>
      </c>
      <c r="H63" s="4" t="s">
        <v>123</v>
      </c>
      <c r="I63" s="4">
        <v>1693760207</v>
      </c>
      <c r="J63" s="4" t="s">
        <v>124</v>
      </c>
      <c r="K63" s="4" t="s">
        <v>125</v>
      </c>
      <c r="L63" s="6">
        <v>228710.32</v>
      </c>
      <c r="M63" s="6">
        <v>207918.47</v>
      </c>
      <c r="N63" s="5">
        <v>44227</v>
      </c>
      <c r="O63" s="4"/>
      <c r="P63" s="4" t="s">
        <v>41</v>
      </c>
    </row>
    <row r="64" spans="1:16">
      <c r="A64" s="4" t="s">
        <v>17</v>
      </c>
      <c r="B64" s="5">
        <v>44195</v>
      </c>
      <c r="C64" s="4" t="str">
        <f>"112017612846"</f>
        <v>112017612846</v>
      </c>
      <c r="D64" s="4">
        <v>4308303970</v>
      </c>
      <c r="E64" s="5">
        <v>44204</v>
      </c>
      <c r="F64" s="4">
        <v>87</v>
      </c>
      <c r="G64" s="4">
        <v>5822</v>
      </c>
      <c r="H64" s="4" t="s">
        <v>52</v>
      </c>
      <c r="I64" s="4">
        <v>4245520376</v>
      </c>
      <c r="J64" s="4" t="s">
        <v>19</v>
      </c>
      <c r="K64" s="4" t="s">
        <v>126</v>
      </c>
      <c r="L64" s="4">
        <v>-81.96</v>
      </c>
      <c r="M64" s="4">
        <v>-74.510000000000005</v>
      </c>
      <c r="N64" s="5">
        <v>44256</v>
      </c>
      <c r="O64" s="4"/>
      <c r="P64" s="4" t="s">
        <v>21</v>
      </c>
    </row>
    <row r="65" spans="1:16">
      <c r="A65" s="4" t="s">
        <v>22</v>
      </c>
      <c r="B65" s="5">
        <v>44195</v>
      </c>
      <c r="C65" s="4" t="str">
        <f>"262"</f>
        <v>262</v>
      </c>
      <c r="D65" s="4">
        <v>4296712323</v>
      </c>
      <c r="E65" s="5">
        <v>44211</v>
      </c>
      <c r="F65" s="4">
        <v>125</v>
      </c>
      <c r="G65" s="4">
        <v>108879</v>
      </c>
      <c r="H65" s="4" t="s">
        <v>127</v>
      </c>
      <c r="I65" s="4">
        <v>2264720208</v>
      </c>
      <c r="J65" s="4" t="s">
        <v>128</v>
      </c>
      <c r="K65" s="4" t="s">
        <v>129</v>
      </c>
      <c r="L65" s="6">
        <v>342325.19</v>
      </c>
      <c r="M65" s="6">
        <v>311204.71999999997</v>
      </c>
      <c r="N65" s="5">
        <v>44226</v>
      </c>
      <c r="O65" s="4"/>
      <c r="P65" s="4" t="s">
        <v>41</v>
      </c>
    </row>
    <row r="66" spans="1:16">
      <c r="A66" s="4" t="s">
        <v>22</v>
      </c>
      <c r="B66" s="5">
        <v>44180</v>
      </c>
      <c r="C66" s="4" t="str">
        <f>"79/E"</f>
        <v>79/E</v>
      </c>
      <c r="D66" s="4">
        <v>4221358670</v>
      </c>
      <c r="E66" s="5">
        <v>44182</v>
      </c>
      <c r="F66" s="4">
        <v>3280</v>
      </c>
      <c r="G66" s="4">
        <v>106854</v>
      </c>
      <c r="H66" s="4" t="s">
        <v>130</v>
      </c>
      <c r="I66" s="4">
        <v>1952810388</v>
      </c>
      <c r="J66" s="4" t="s">
        <v>131</v>
      </c>
      <c r="K66" s="4" t="s">
        <v>132</v>
      </c>
      <c r="L66" s="4">
        <v>66.88</v>
      </c>
      <c r="M66" s="4">
        <v>0.02</v>
      </c>
      <c r="N66" s="5">
        <v>44211</v>
      </c>
      <c r="O66" s="4"/>
      <c r="P66" s="4" t="s">
        <v>37</v>
      </c>
    </row>
    <row r="67" spans="1:16">
      <c r="A67" s="4" t="s">
        <v>22</v>
      </c>
      <c r="B67" s="5">
        <v>44165</v>
      </c>
      <c r="C67" s="4" t="str">
        <f>"S0120FEL00090"</f>
        <v>S0120FEL00090</v>
      </c>
      <c r="D67" s="4">
        <v>4110338151</v>
      </c>
      <c r="E67" s="5">
        <v>44179</v>
      </c>
      <c r="F67" s="4">
        <v>3254</v>
      </c>
      <c r="G67" s="4">
        <v>1037</v>
      </c>
      <c r="H67" s="4" t="s">
        <v>69</v>
      </c>
      <c r="I67" s="4">
        <v>51510386</v>
      </c>
      <c r="J67" s="4" t="s">
        <v>70</v>
      </c>
      <c r="K67" s="4" t="s">
        <v>133</v>
      </c>
      <c r="L67" s="6">
        <v>2537.6</v>
      </c>
      <c r="M67" s="6">
        <v>2080</v>
      </c>
      <c r="N67" s="5">
        <v>44195</v>
      </c>
      <c r="O67" s="4"/>
      <c r="P67" s="4" t="s">
        <v>55</v>
      </c>
    </row>
    <row r="68" spans="1:16">
      <c r="A68" s="4" t="s">
        <v>22</v>
      </c>
      <c r="B68" s="5">
        <v>44165</v>
      </c>
      <c r="C68" s="4" t="str">
        <f>"S0120FEL00091"</f>
        <v>S0120FEL00091</v>
      </c>
      <c r="D68" s="4">
        <v>4110338159</v>
      </c>
      <c r="E68" s="5">
        <v>44179</v>
      </c>
      <c r="F68" s="4">
        <v>3252</v>
      </c>
      <c r="G68" s="4">
        <v>1037</v>
      </c>
      <c r="H68" s="4" t="s">
        <v>69</v>
      </c>
      <c r="I68" s="4">
        <v>51510386</v>
      </c>
      <c r="J68" s="4" t="s">
        <v>70</v>
      </c>
      <c r="K68" s="4" t="s">
        <v>134</v>
      </c>
      <c r="L68" s="4">
        <v>634.4</v>
      </c>
      <c r="M68" s="4">
        <v>520</v>
      </c>
      <c r="N68" s="5">
        <v>44195</v>
      </c>
      <c r="O68" s="4"/>
      <c r="P68" s="4" t="s">
        <v>55</v>
      </c>
    </row>
    <row r="69" spans="1:16">
      <c r="A69" s="4" t="s">
        <v>22</v>
      </c>
      <c r="B69" s="5">
        <v>44165</v>
      </c>
      <c r="C69" s="4" t="str">
        <f>"S0120FEL00092"</f>
        <v>S0120FEL00092</v>
      </c>
      <c r="D69" s="4">
        <v>4110338168</v>
      </c>
      <c r="E69" s="5">
        <v>44179</v>
      </c>
      <c r="F69" s="4">
        <v>3255</v>
      </c>
      <c r="G69" s="4">
        <v>1037</v>
      </c>
      <c r="H69" s="4" t="s">
        <v>69</v>
      </c>
      <c r="I69" s="4">
        <v>51510386</v>
      </c>
      <c r="J69" s="4" t="s">
        <v>70</v>
      </c>
      <c r="K69" s="4" t="s">
        <v>135</v>
      </c>
      <c r="L69" s="6">
        <v>5938.78</v>
      </c>
      <c r="M69" s="6">
        <v>4867.8500000000004</v>
      </c>
      <c r="N69" s="5">
        <v>44195</v>
      </c>
      <c r="O69" s="4"/>
      <c r="P69" s="4" t="s">
        <v>55</v>
      </c>
    </row>
    <row r="70" spans="1:16">
      <c r="A70" s="4" t="s">
        <v>22</v>
      </c>
      <c r="B70" s="5">
        <v>44162</v>
      </c>
      <c r="C70" s="4" t="str">
        <f>"S0120FEL00087"</f>
        <v>S0120FEL00087</v>
      </c>
      <c r="D70" s="4">
        <v>4110337973</v>
      </c>
      <c r="E70" s="5">
        <v>44179</v>
      </c>
      <c r="F70" s="4">
        <v>3251</v>
      </c>
      <c r="G70" s="4">
        <v>1037</v>
      </c>
      <c r="H70" s="4" t="s">
        <v>69</v>
      </c>
      <c r="I70" s="4">
        <v>51510386</v>
      </c>
      <c r="J70" s="4" t="s">
        <v>70</v>
      </c>
      <c r="K70" s="4" t="s">
        <v>136</v>
      </c>
      <c r="L70" s="4">
        <v>58.3</v>
      </c>
      <c r="M70" s="4">
        <v>53</v>
      </c>
      <c r="N70" s="5">
        <v>44192</v>
      </c>
      <c r="O70" s="4"/>
      <c r="P70" s="4" t="s">
        <v>55</v>
      </c>
    </row>
    <row r="71" spans="1:16">
      <c r="A71" s="4" t="s">
        <v>22</v>
      </c>
      <c r="B71" s="5">
        <v>44162</v>
      </c>
      <c r="C71" s="4" t="str">
        <f>"S0120FEL00088"</f>
        <v>S0120FEL00088</v>
      </c>
      <c r="D71" s="4">
        <v>4110337993</v>
      </c>
      <c r="E71" s="5">
        <v>44179</v>
      </c>
      <c r="F71" s="4">
        <v>3253</v>
      </c>
      <c r="G71" s="4">
        <v>1037</v>
      </c>
      <c r="H71" s="4" t="s">
        <v>69</v>
      </c>
      <c r="I71" s="4">
        <v>51510386</v>
      </c>
      <c r="J71" s="4" t="s">
        <v>70</v>
      </c>
      <c r="K71" s="4" t="s">
        <v>137</v>
      </c>
      <c r="L71" s="6">
        <v>4169</v>
      </c>
      <c r="M71" s="6">
        <v>3790</v>
      </c>
      <c r="N71" s="5">
        <v>44192</v>
      </c>
      <c r="O71" s="4"/>
      <c r="P71" s="4" t="s">
        <v>55</v>
      </c>
    </row>
    <row r="72" spans="1:16">
      <c r="A72" s="4" t="s">
        <v>22</v>
      </c>
      <c r="B72" s="5">
        <v>44162</v>
      </c>
      <c r="C72" s="4" t="str">
        <f>"S0120FEL00089"</f>
        <v>S0120FEL00089</v>
      </c>
      <c r="D72" s="4">
        <v>4110338140</v>
      </c>
      <c r="E72" s="5">
        <v>44179</v>
      </c>
      <c r="F72" s="4">
        <v>3250</v>
      </c>
      <c r="G72" s="4">
        <v>1037</v>
      </c>
      <c r="H72" s="4" t="s">
        <v>69</v>
      </c>
      <c r="I72" s="4">
        <v>51510386</v>
      </c>
      <c r="J72" s="4" t="s">
        <v>70</v>
      </c>
      <c r="K72" s="4" t="s">
        <v>138</v>
      </c>
      <c r="L72" s="6">
        <v>4702.6099999999997</v>
      </c>
      <c r="M72" s="6">
        <v>3925.42</v>
      </c>
      <c r="N72" s="5">
        <v>44192</v>
      </c>
      <c r="O72" s="4"/>
      <c r="P72" s="4" t="s">
        <v>55</v>
      </c>
    </row>
    <row r="73" spans="1:16">
      <c r="A73" s="4" t="s">
        <v>22</v>
      </c>
      <c r="B73" s="5">
        <v>44144</v>
      </c>
      <c r="C73" s="4" t="str">
        <f>"FPA 763/20"</f>
        <v>FPA 763/20</v>
      </c>
      <c r="D73" s="4">
        <v>3996261999</v>
      </c>
      <c r="E73" s="5">
        <v>44160</v>
      </c>
      <c r="F73" s="4">
        <v>3093</v>
      </c>
      <c r="G73" s="4">
        <v>7511</v>
      </c>
      <c r="H73" s="4" t="s">
        <v>139</v>
      </c>
      <c r="I73" s="4" t="s">
        <v>117</v>
      </c>
      <c r="J73" s="4" t="s">
        <v>118</v>
      </c>
      <c r="K73" s="4" t="s">
        <v>140</v>
      </c>
      <c r="L73" s="4">
        <v>276.94</v>
      </c>
      <c r="M73" s="4">
        <v>227</v>
      </c>
      <c r="N73" s="5">
        <v>44195</v>
      </c>
      <c r="O73" s="4"/>
      <c r="P73" s="4" t="s">
        <v>83</v>
      </c>
    </row>
    <row r="74" spans="1:16">
      <c r="A74" s="4" t="s">
        <v>22</v>
      </c>
      <c r="B74" s="5">
        <v>44095</v>
      </c>
      <c r="C74" s="4" t="str">
        <f>"2030040021"</f>
        <v>2030040021</v>
      </c>
      <c r="D74" s="4">
        <v>3704951954</v>
      </c>
      <c r="E74" s="5">
        <v>44103</v>
      </c>
      <c r="F74" s="4">
        <v>2481</v>
      </c>
      <c r="G74" s="4">
        <v>3066</v>
      </c>
      <c r="H74" s="4" t="s">
        <v>38</v>
      </c>
      <c r="I74" s="4">
        <v>2322600541</v>
      </c>
      <c r="J74" s="4" t="s">
        <v>39</v>
      </c>
      <c r="K74" s="4" t="s">
        <v>141</v>
      </c>
      <c r="L74" s="6">
        <v>5890.75</v>
      </c>
      <c r="M74" s="6">
        <v>4828.4799999999996</v>
      </c>
      <c r="N74" s="5">
        <v>44155</v>
      </c>
      <c r="O74" s="4"/>
      <c r="P74" s="4" t="s">
        <v>142</v>
      </c>
    </row>
    <row r="75" spans="1:16">
      <c r="A75" s="4" t="s">
        <v>22</v>
      </c>
      <c r="B75" s="5">
        <v>44090</v>
      </c>
      <c r="C75" s="4" t="str">
        <f>"C12020202861416545"</f>
        <v>C12020202861416545</v>
      </c>
      <c r="D75" s="4">
        <v>3674597202</v>
      </c>
      <c r="E75" s="5">
        <v>44103</v>
      </c>
      <c r="F75" s="4">
        <v>2521</v>
      </c>
      <c r="G75" s="4">
        <v>2386</v>
      </c>
      <c r="H75" s="4" t="s">
        <v>143</v>
      </c>
      <c r="I75" s="4">
        <v>488410010</v>
      </c>
      <c r="J75" s="4" t="s">
        <v>94</v>
      </c>
      <c r="K75" s="4" t="s">
        <v>144</v>
      </c>
      <c r="L75" s="4">
        <v>30</v>
      </c>
      <c r="M75" s="4">
        <v>30</v>
      </c>
      <c r="N75" s="5">
        <v>44121</v>
      </c>
      <c r="O75" s="4"/>
      <c r="P75" s="4" t="s">
        <v>21</v>
      </c>
    </row>
    <row r="76" spans="1:16">
      <c r="A76" s="4" t="s">
        <v>22</v>
      </c>
      <c r="B76" s="5">
        <v>44008</v>
      </c>
      <c r="C76" s="4" t="str">
        <f>"FATTPA 5_20"</f>
        <v>FATTPA 5_20</v>
      </c>
      <c r="D76" s="4">
        <v>3189510499</v>
      </c>
      <c r="E76" s="5">
        <v>44025</v>
      </c>
      <c r="F76" s="4">
        <v>1828</v>
      </c>
      <c r="G76" s="4">
        <v>7556</v>
      </c>
      <c r="H76" s="4" t="s">
        <v>80</v>
      </c>
      <c r="I76" s="4">
        <v>1576070898</v>
      </c>
      <c r="J76" s="4" t="s">
        <v>81</v>
      </c>
      <c r="K76" s="4" t="s">
        <v>145</v>
      </c>
      <c r="L76" s="6">
        <v>2440</v>
      </c>
      <c r="M76" s="6">
        <v>2000</v>
      </c>
      <c r="N76" s="5">
        <v>44038</v>
      </c>
      <c r="O76" s="4"/>
      <c r="P76" s="4" t="s">
        <v>83</v>
      </c>
    </row>
    <row r="77" spans="1:16">
      <c r="A77" s="4" t="s">
        <v>17</v>
      </c>
      <c r="B77" s="5">
        <v>43969</v>
      </c>
      <c r="C77" s="4" t="str">
        <f>"5950135297"</f>
        <v>5950135297</v>
      </c>
      <c r="D77" s="4">
        <v>2987116092</v>
      </c>
      <c r="E77" s="5">
        <v>43972</v>
      </c>
      <c r="F77" s="4">
        <v>1430</v>
      </c>
      <c r="G77" s="4">
        <v>6611</v>
      </c>
      <c r="H77" s="4" t="s">
        <v>59</v>
      </c>
      <c r="I77" s="4">
        <v>8526440154</v>
      </c>
      <c r="J77" s="4" t="s">
        <v>60</v>
      </c>
      <c r="K77" s="4" t="s">
        <v>146</v>
      </c>
      <c r="L77" s="4">
        <v>-246.99</v>
      </c>
      <c r="M77" s="4">
        <v>-206.56</v>
      </c>
      <c r="N77" s="5">
        <v>44011</v>
      </c>
      <c r="O77" s="4"/>
      <c r="P77" s="4" t="s">
        <v>21</v>
      </c>
    </row>
    <row r="78" spans="1:16">
      <c r="A78" s="4" t="s">
        <v>17</v>
      </c>
      <c r="B78" s="5">
        <v>43947</v>
      </c>
      <c r="C78" s="4" t="str">
        <f>"E000018064"</f>
        <v>E000018064</v>
      </c>
      <c r="D78" s="4">
        <v>2882880039</v>
      </c>
      <c r="E78" s="5">
        <v>43955</v>
      </c>
      <c r="F78" s="4">
        <v>1224</v>
      </c>
      <c r="G78" s="4">
        <v>7140</v>
      </c>
      <c r="H78" s="4" t="s">
        <v>147</v>
      </c>
      <c r="I78" s="4">
        <v>6832931007</v>
      </c>
      <c r="J78" s="4" t="s">
        <v>148</v>
      </c>
      <c r="K78" s="4" t="s">
        <v>149</v>
      </c>
      <c r="L78" s="4">
        <v>-9.4700000000000006</v>
      </c>
      <c r="M78" s="4">
        <v>-7.76</v>
      </c>
      <c r="N78" s="5">
        <v>43980</v>
      </c>
      <c r="O78" s="4"/>
      <c r="P78" s="4" t="s">
        <v>21</v>
      </c>
    </row>
    <row r="79" spans="1:16">
      <c r="A79" s="4" t="s">
        <v>17</v>
      </c>
      <c r="B79" s="5">
        <v>43947</v>
      </c>
      <c r="C79" s="4" t="str">
        <f>"E000018105"</f>
        <v>E000018105</v>
      </c>
      <c r="D79" s="4">
        <v>2882888409</v>
      </c>
      <c r="E79" s="5">
        <v>43955</v>
      </c>
      <c r="F79" s="4">
        <v>1223</v>
      </c>
      <c r="G79" s="4">
        <v>7140</v>
      </c>
      <c r="H79" s="4" t="s">
        <v>147</v>
      </c>
      <c r="I79" s="4">
        <v>6832931007</v>
      </c>
      <c r="J79" s="4" t="s">
        <v>148</v>
      </c>
      <c r="K79" s="4" t="s">
        <v>150</v>
      </c>
      <c r="L79" s="4">
        <v>-66.16</v>
      </c>
      <c r="M79" s="4">
        <v>-54.23</v>
      </c>
      <c r="N79" s="5">
        <v>43980</v>
      </c>
      <c r="O79" s="4"/>
      <c r="P79" s="4" t="s">
        <v>21</v>
      </c>
    </row>
    <row r="80" spans="1:16">
      <c r="A80" s="4" t="s">
        <v>17</v>
      </c>
      <c r="B80" s="5">
        <v>43947</v>
      </c>
      <c r="C80" s="4" t="str">
        <f>"E000018147"</f>
        <v>E000018147</v>
      </c>
      <c r="D80" s="4">
        <v>2882781977</v>
      </c>
      <c r="E80" s="5">
        <v>43955</v>
      </c>
      <c r="F80" s="4">
        <v>1225</v>
      </c>
      <c r="G80" s="4">
        <v>7140</v>
      </c>
      <c r="H80" s="4" t="s">
        <v>147</v>
      </c>
      <c r="I80" s="4">
        <v>6832931007</v>
      </c>
      <c r="J80" s="4" t="s">
        <v>148</v>
      </c>
      <c r="K80" s="4" t="s">
        <v>151</v>
      </c>
      <c r="L80" s="4">
        <v>-17.690000000000001</v>
      </c>
      <c r="M80" s="4">
        <v>-14.5</v>
      </c>
      <c r="N80" s="5">
        <v>43980</v>
      </c>
      <c r="O80" s="4"/>
      <c r="P80" s="4" t="s">
        <v>21</v>
      </c>
    </row>
    <row r="81" spans="1:16">
      <c r="A81" s="4" t="s">
        <v>17</v>
      </c>
      <c r="B81" s="5">
        <v>43942</v>
      </c>
      <c r="C81" s="4" t="str">
        <f>"E000007925"</f>
        <v>E000007925</v>
      </c>
      <c r="D81" s="4">
        <v>2875193130</v>
      </c>
      <c r="E81" s="5">
        <v>43955</v>
      </c>
      <c r="F81" s="4">
        <v>1222</v>
      </c>
      <c r="G81" s="4">
        <v>7140</v>
      </c>
      <c r="H81" s="4" t="s">
        <v>147</v>
      </c>
      <c r="I81" s="4">
        <v>6832931007</v>
      </c>
      <c r="J81" s="4" t="s">
        <v>148</v>
      </c>
      <c r="K81" s="4" t="s">
        <v>152</v>
      </c>
      <c r="L81" s="4">
        <v>-73.87</v>
      </c>
      <c r="M81" s="4">
        <v>-60.55</v>
      </c>
      <c r="N81" s="5">
        <v>43978</v>
      </c>
      <c r="O81" s="4"/>
      <c r="P81" s="4" t="s">
        <v>21</v>
      </c>
    </row>
    <row r="82" spans="1:16">
      <c r="A82" s="4" t="s">
        <v>17</v>
      </c>
      <c r="B82" s="5">
        <v>43941</v>
      </c>
      <c r="C82" s="4" t="str">
        <f>"S000000057"</f>
        <v>S000000057</v>
      </c>
      <c r="D82" s="4">
        <v>2858021595</v>
      </c>
      <c r="E82" s="5">
        <v>43955</v>
      </c>
      <c r="F82" s="4">
        <v>1219</v>
      </c>
      <c r="G82" s="4">
        <v>7140</v>
      </c>
      <c r="H82" s="4" t="s">
        <v>147</v>
      </c>
      <c r="I82" s="4">
        <v>6832931007</v>
      </c>
      <c r="J82" s="4" t="s">
        <v>148</v>
      </c>
      <c r="K82" s="4" t="s">
        <v>153</v>
      </c>
      <c r="L82" s="4">
        <v>-0.56000000000000005</v>
      </c>
      <c r="M82" s="4">
        <v>-0.46</v>
      </c>
      <c r="N82" s="5">
        <v>43973</v>
      </c>
      <c r="O82" s="4"/>
      <c r="P82" s="4" t="s">
        <v>21</v>
      </c>
    </row>
    <row r="83" spans="1:16">
      <c r="A83" s="4" t="s">
        <v>17</v>
      </c>
      <c r="B83" s="5">
        <v>43941</v>
      </c>
      <c r="C83" s="4" t="str">
        <f>"S000000058"</f>
        <v>S000000058</v>
      </c>
      <c r="D83" s="4">
        <v>2858023428</v>
      </c>
      <c r="E83" s="5">
        <v>43955</v>
      </c>
      <c r="F83" s="4">
        <v>1218</v>
      </c>
      <c r="G83" s="4">
        <v>7140</v>
      </c>
      <c r="H83" s="4" t="s">
        <v>147</v>
      </c>
      <c r="I83" s="4">
        <v>6832931007</v>
      </c>
      <c r="J83" s="4" t="s">
        <v>148</v>
      </c>
      <c r="K83" s="4" t="s">
        <v>154</v>
      </c>
      <c r="L83" s="4">
        <v>-7.0000000000000007E-2</v>
      </c>
      <c r="M83" s="4">
        <v>-0.06</v>
      </c>
      <c r="N83" s="5">
        <v>43973</v>
      </c>
      <c r="O83" s="4"/>
      <c r="P83" s="4" t="s">
        <v>21</v>
      </c>
    </row>
    <row r="84" spans="1:16">
      <c r="A84" s="4" t="s">
        <v>17</v>
      </c>
      <c r="B84" s="5">
        <v>43941</v>
      </c>
      <c r="C84" s="4" t="str">
        <f>"S000000059"</f>
        <v>S000000059</v>
      </c>
      <c r="D84" s="4">
        <v>2858023482</v>
      </c>
      <c r="E84" s="5">
        <v>43955</v>
      </c>
      <c r="F84" s="4">
        <v>1220</v>
      </c>
      <c r="G84" s="4">
        <v>7140</v>
      </c>
      <c r="H84" s="4" t="s">
        <v>147</v>
      </c>
      <c r="I84" s="4">
        <v>6832931007</v>
      </c>
      <c r="J84" s="4" t="s">
        <v>148</v>
      </c>
      <c r="K84" s="4" t="s">
        <v>155</v>
      </c>
      <c r="L84" s="4">
        <v>-0.19</v>
      </c>
      <c r="M84" s="4">
        <v>-0.16</v>
      </c>
      <c r="N84" s="5">
        <v>43973</v>
      </c>
      <c r="O84" s="4"/>
      <c r="P84" s="4" t="s">
        <v>21</v>
      </c>
    </row>
    <row r="85" spans="1:16">
      <c r="A85" s="4" t="s">
        <v>17</v>
      </c>
      <c r="B85" s="5">
        <v>43941</v>
      </c>
      <c r="C85" s="4" t="str">
        <f>"S000000060"</f>
        <v>S000000060</v>
      </c>
      <c r="D85" s="4">
        <v>2858027907</v>
      </c>
      <c r="E85" s="5">
        <v>43955</v>
      </c>
      <c r="F85" s="4">
        <v>1221</v>
      </c>
      <c r="G85" s="4">
        <v>7140</v>
      </c>
      <c r="H85" s="4" t="s">
        <v>147</v>
      </c>
      <c r="I85" s="4">
        <v>6832931007</v>
      </c>
      <c r="J85" s="4" t="s">
        <v>148</v>
      </c>
      <c r="K85" s="4" t="s">
        <v>156</v>
      </c>
      <c r="L85" s="4">
        <v>-2.0699999999999998</v>
      </c>
      <c r="M85" s="4">
        <v>-1.7</v>
      </c>
      <c r="N85" s="5">
        <v>43973</v>
      </c>
      <c r="O85" s="4"/>
      <c r="P85" s="4" t="s">
        <v>21</v>
      </c>
    </row>
    <row r="86" spans="1:16">
      <c r="A86" s="4" t="s">
        <v>17</v>
      </c>
      <c r="B86" s="5">
        <v>43941</v>
      </c>
      <c r="C86" s="4" t="str">
        <f>"S000000061"</f>
        <v>S000000061</v>
      </c>
      <c r="D86" s="4">
        <v>2858026701</v>
      </c>
      <c r="E86" s="5">
        <v>43955</v>
      </c>
      <c r="F86" s="4">
        <v>1217</v>
      </c>
      <c r="G86" s="4">
        <v>7140</v>
      </c>
      <c r="H86" s="4" t="s">
        <v>147</v>
      </c>
      <c r="I86" s="4">
        <v>6832931007</v>
      </c>
      <c r="J86" s="4" t="s">
        <v>148</v>
      </c>
      <c r="K86" s="4" t="s">
        <v>157</v>
      </c>
      <c r="L86" s="4">
        <v>-7.0000000000000007E-2</v>
      </c>
      <c r="M86" s="4">
        <v>-0.06</v>
      </c>
      <c r="N86" s="5">
        <v>43973</v>
      </c>
      <c r="O86" s="4"/>
      <c r="P86" s="4" t="s">
        <v>21</v>
      </c>
    </row>
    <row r="87" spans="1:16">
      <c r="A87" s="4" t="s">
        <v>22</v>
      </c>
      <c r="B87" s="5">
        <v>43771</v>
      </c>
      <c r="C87" s="4" t="str">
        <f>"42/00"</f>
        <v>42/00</v>
      </c>
      <c r="D87" s="4">
        <v>1880342077</v>
      </c>
      <c r="E87" s="5">
        <v>44217</v>
      </c>
      <c r="F87" s="4">
        <v>156</v>
      </c>
      <c r="G87" s="4">
        <v>3743</v>
      </c>
      <c r="H87" s="4" t="s">
        <v>158</v>
      </c>
      <c r="I87" s="4" t="s">
        <v>159</v>
      </c>
      <c r="J87" s="4" t="s">
        <v>160</v>
      </c>
      <c r="K87" s="4" t="s">
        <v>161</v>
      </c>
      <c r="L87" s="4">
        <v>100.85</v>
      </c>
      <c r="M87" s="4">
        <v>100.85</v>
      </c>
      <c r="N87" s="5">
        <v>43799</v>
      </c>
      <c r="O87" s="4"/>
      <c r="P87" s="4" t="s">
        <v>51</v>
      </c>
    </row>
    <row r="88" spans="1:16">
      <c r="A88" s="4" t="s">
        <v>22</v>
      </c>
      <c r="B88" s="5">
        <v>43648</v>
      </c>
      <c r="C88" s="4" t="str">
        <f>"C12020192861359133"</f>
        <v>C12020192861359133</v>
      </c>
      <c r="D88" s="4">
        <v>1177187984</v>
      </c>
      <c r="E88" s="5">
        <v>43741</v>
      </c>
      <c r="F88" s="4">
        <v>2833</v>
      </c>
      <c r="G88" s="4">
        <v>2386</v>
      </c>
      <c r="H88" s="4" t="s">
        <v>143</v>
      </c>
      <c r="I88" s="4">
        <v>488410010</v>
      </c>
      <c r="J88" s="4" t="s">
        <v>94</v>
      </c>
      <c r="K88" s="4" t="s">
        <v>162</v>
      </c>
      <c r="L88" s="4">
        <v>10</v>
      </c>
      <c r="M88" s="4">
        <v>10</v>
      </c>
      <c r="N88" s="5">
        <v>43681</v>
      </c>
      <c r="O88" s="4"/>
      <c r="P88" s="4" t="s">
        <v>21</v>
      </c>
    </row>
    <row r="89" spans="1:16">
      <c r="A89" s="4" t="s">
        <v>17</v>
      </c>
      <c r="B89" s="5">
        <v>43634</v>
      </c>
      <c r="C89" s="4" t="str">
        <f>"2/NC"</f>
        <v>2/NC</v>
      </c>
      <c r="D89" s="4">
        <v>1115133166</v>
      </c>
      <c r="E89" s="5">
        <v>43661</v>
      </c>
      <c r="F89" s="4">
        <v>2028</v>
      </c>
      <c r="G89" s="4">
        <v>2456</v>
      </c>
      <c r="H89" s="4" t="s">
        <v>163</v>
      </c>
      <c r="I89" s="4">
        <v>1373390382</v>
      </c>
      <c r="J89" s="4" t="s">
        <v>164</v>
      </c>
      <c r="K89" s="4" t="s">
        <v>165</v>
      </c>
      <c r="L89" s="4">
        <v>-298.89999999999998</v>
      </c>
      <c r="M89" s="4">
        <v>-298.89999999999998</v>
      </c>
      <c r="N89" s="5">
        <v>43634</v>
      </c>
      <c r="O89" s="4"/>
      <c r="P89" s="4" t="s">
        <v>21</v>
      </c>
    </row>
    <row r="90" spans="1:16">
      <c r="A90" s="4" t="s">
        <v>22</v>
      </c>
      <c r="B90" s="5">
        <v>43578</v>
      </c>
      <c r="C90" s="4" t="str">
        <f>"E000021344"</f>
        <v>E000021344</v>
      </c>
      <c r="D90" s="4">
        <v>807467408</v>
      </c>
      <c r="E90" s="5">
        <v>43595</v>
      </c>
      <c r="F90" s="4">
        <v>1239</v>
      </c>
      <c r="G90" s="4">
        <v>7140</v>
      </c>
      <c r="H90" s="4" t="s">
        <v>147</v>
      </c>
      <c r="I90" s="4">
        <v>6832931007</v>
      </c>
      <c r="J90" s="4" t="s">
        <v>148</v>
      </c>
      <c r="K90" s="4" t="s">
        <v>166</v>
      </c>
      <c r="L90" s="4">
        <v>188.32</v>
      </c>
      <c r="M90" s="4">
        <v>154.36000000000001</v>
      </c>
      <c r="N90" s="5">
        <v>43608</v>
      </c>
      <c r="O90" s="4"/>
      <c r="P90" s="4" t="s">
        <v>21</v>
      </c>
    </row>
    <row r="91" spans="1:16">
      <c r="A91" s="4" t="s">
        <v>22</v>
      </c>
      <c r="B91" s="5">
        <v>43578</v>
      </c>
      <c r="C91" s="4" t="str">
        <f>"E000021345"</f>
        <v>E000021345</v>
      </c>
      <c r="D91" s="4">
        <v>807467661</v>
      </c>
      <c r="E91" s="5">
        <v>43595</v>
      </c>
      <c r="F91" s="4">
        <v>1241</v>
      </c>
      <c r="G91" s="4">
        <v>7140</v>
      </c>
      <c r="H91" s="4" t="s">
        <v>147</v>
      </c>
      <c r="I91" s="4">
        <v>6832931007</v>
      </c>
      <c r="J91" s="4" t="s">
        <v>148</v>
      </c>
      <c r="K91" s="4" t="s">
        <v>166</v>
      </c>
      <c r="L91" s="4">
        <v>255.76</v>
      </c>
      <c r="M91" s="4">
        <v>209.64</v>
      </c>
      <c r="N91" s="5">
        <v>43613</v>
      </c>
      <c r="O91" s="4"/>
      <c r="P91" s="4" t="s">
        <v>21</v>
      </c>
    </row>
    <row r="92" spans="1:16">
      <c r="A92" s="4" t="s">
        <v>22</v>
      </c>
      <c r="B92" s="5">
        <v>43578</v>
      </c>
      <c r="C92" s="4" t="str">
        <f>"E000021405"</f>
        <v>E000021405</v>
      </c>
      <c r="D92" s="4">
        <v>807463707</v>
      </c>
      <c r="E92" s="5">
        <v>43595</v>
      </c>
      <c r="F92" s="4">
        <v>1240</v>
      </c>
      <c r="G92" s="4">
        <v>7140</v>
      </c>
      <c r="H92" s="4" t="s">
        <v>147</v>
      </c>
      <c r="I92" s="4">
        <v>6832931007</v>
      </c>
      <c r="J92" s="4" t="s">
        <v>148</v>
      </c>
      <c r="K92" s="4" t="s">
        <v>166</v>
      </c>
      <c r="L92" s="4">
        <v>261.17</v>
      </c>
      <c r="M92" s="4">
        <v>214.07</v>
      </c>
      <c r="N92" s="5">
        <v>43608</v>
      </c>
      <c r="O92" s="4"/>
      <c r="P92" s="4" t="s">
        <v>21</v>
      </c>
    </row>
    <row r="93" spans="1:16">
      <c r="A93" s="4" t="s">
        <v>22</v>
      </c>
      <c r="B93" s="5">
        <v>43578</v>
      </c>
      <c r="C93" s="4" t="str">
        <f>"E000021406"</f>
        <v>E000021406</v>
      </c>
      <c r="D93" s="4">
        <v>807462556</v>
      </c>
      <c r="E93" s="5">
        <v>43595</v>
      </c>
      <c r="F93" s="4">
        <v>1257</v>
      </c>
      <c r="G93" s="4">
        <v>7140</v>
      </c>
      <c r="H93" s="4" t="s">
        <v>147</v>
      </c>
      <c r="I93" s="4">
        <v>6832931007</v>
      </c>
      <c r="J93" s="4" t="s">
        <v>148</v>
      </c>
      <c r="K93" s="4" t="s">
        <v>166</v>
      </c>
      <c r="L93" s="4">
        <v>175.25</v>
      </c>
      <c r="M93" s="4">
        <v>143.65</v>
      </c>
      <c r="N93" s="5">
        <v>43613</v>
      </c>
      <c r="O93" s="4"/>
      <c r="P93" s="4" t="s">
        <v>21</v>
      </c>
    </row>
    <row r="94" spans="1:16">
      <c r="A94" s="4" t="s">
        <v>22</v>
      </c>
      <c r="B94" s="5">
        <v>43578</v>
      </c>
      <c r="C94" s="4" t="str">
        <f>"E000021693"</f>
        <v>E000021693</v>
      </c>
      <c r="D94" s="4">
        <v>808007521</v>
      </c>
      <c r="E94" s="5">
        <v>43595</v>
      </c>
      <c r="F94" s="4">
        <v>1258</v>
      </c>
      <c r="G94" s="4">
        <v>7140</v>
      </c>
      <c r="H94" s="4" t="s">
        <v>147</v>
      </c>
      <c r="I94" s="4">
        <v>6832931007</v>
      </c>
      <c r="J94" s="4" t="s">
        <v>148</v>
      </c>
      <c r="K94" s="4" t="s">
        <v>166</v>
      </c>
      <c r="L94" s="4">
        <v>80.790000000000006</v>
      </c>
      <c r="M94" s="4">
        <v>66.22</v>
      </c>
      <c r="N94" s="5">
        <v>43613</v>
      </c>
      <c r="O94" s="4"/>
      <c r="P94" s="4" t="s">
        <v>21</v>
      </c>
    </row>
    <row r="95" spans="1:16">
      <c r="A95" s="4" t="s">
        <v>22</v>
      </c>
      <c r="B95" s="5">
        <v>43567</v>
      </c>
      <c r="C95" s="4" t="str">
        <f>"E000003655"</f>
        <v>E000003655</v>
      </c>
      <c r="D95" s="4">
        <v>711973802</v>
      </c>
      <c r="E95" s="5">
        <v>43593</v>
      </c>
      <c r="F95" s="4">
        <v>1159</v>
      </c>
      <c r="G95" s="4">
        <v>7140</v>
      </c>
      <c r="H95" s="4" t="s">
        <v>147</v>
      </c>
      <c r="I95" s="4">
        <v>6832931007</v>
      </c>
      <c r="J95" s="4" t="s">
        <v>148</v>
      </c>
      <c r="K95" s="4" t="s">
        <v>167</v>
      </c>
      <c r="L95" s="4">
        <v>5.92</v>
      </c>
      <c r="M95" s="4">
        <v>4.8499999999999996</v>
      </c>
      <c r="N95" s="5">
        <v>43602</v>
      </c>
      <c r="O95" s="4"/>
      <c r="P95" s="4" t="s">
        <v>21</v>
      </c>
    </row>
    <row r="96" spans="1:16">
      <c r="A96" s="4" t="s">
        <v>22</v>
      </c>
      <c r="B96" s="5">
        <v>43567</v>
      </c>
      <c r="C96" s="4" t="str">
        <f>"E000003676"</f>
        <v>E000003676</v>
      </c>
      <c r="D96" s="4">
        <v>711989310</v>
      </c>
      <c r="E96" s="5">
        <v>43595</v>
      </c>
      <c r="F96" s="4">
        <v>1214</v>
      </c>
      <c r="G96" s="4">
        <v>7140</v>
      </c>
      <c r="H96" s="4" t="s">
        <v>147</v>
      </c>
      <c r="I96" s="4">
        <v>6832931007</v>
      </c>
      <c r="J96" s="4" t="s">
        <v>148</v>
      </c>
      <c r="K96" s="4" t="s">
        <v>166</v>
      </c>
      <c r="L96" s="4">
        <v>291.07</v>
      </c>
      <c r="M96" s="4">
        <v>238.58</v>
      </c>
      <c r="N96" s="5">
        <v>43602</v>
      </c>
      <c r="O96" s="4"/>
      <c r="P96" s="4" t="s">
        <v>21</v>
      </c>
    </row>
    <row r="97" spans="1:16">
      <c r="A97" s="4" t="s">
        <v>22</v>
      </c>
      <c r="B97" s="5">
        <v>43567</v>
      </c>
      <c r="C97" s="4" t="str">
        <f>"E000003681"</f>
        <v>E000003681</v>
      </c>
      <c r="D97" s="4">
        <v>711973379</v>
      </c>
      <c r="E97" s="5">
        <v>43593</v>
      </c>
      <c r="F97" s="4">
        <v>1172</v>
      </c>
      <c r="G97" s="4">
        <v>7140</v>
      </c>
      <c r="H97" s="4" t="s">
        <v>147</v>
      </c>
      <c r="I97" s="4">
        <v>6832931007</v>
      </c>
      <c r="J97" s="4" t="s">
        <v>148</v>
      </c>
      <c r="K97" s="4" t="s">
        <v>168</v>
      </c>
      <c r="L97" s="4">
        <v>128.34</v>
      </c>
      <c r="M97" s="4">
        <v>105.2</v>
      </c>
      <c r="N97" s="5">
        <v>43602</v>
      </c>
      <c r="O97" s="4"/>
      <c r="P97" s="4" t="s">
        <v>21</v>
      </c>
    </row>
    <row r="98" spans="1:16">
      <c r="A98" s="4" t="s">
        <v>22</v>
      </c>
      <c r="B98" s="5">
        <v>43567</v>
      </c>
      <c r="C98" s="4" t="str">
        <f>"E000003699"</f>
        <v>E000003699</v>
      </c>
      <c r="D98" s="4">
        <v>711973835</v>
      </c>
      <c r="E98" s="5">
        <v>43593</v>
      </c>
      <c r="F98" s="4">
        <v>1178</v>
      </c>
      <c r="G98" s="4">
        <v>7140</v>
      </c>
      <c r="H98" s="4" t="s">
        <v>147</v>
      </c>
      <c r="I98" s="4">
        <v>6832931007</v>
      </c>
      <c r="J98" s="4" t="s">
        <v>148</v>
      </c>
      <c r="K98" s="4" t="s">
        <v>169</v>
      </c>
      <c r="L98" s="4">
        <v>14.79</v>
      </c>
      <c r="M98" s="4">
        <v>12.12</v>
      </c>
      <c r="N98" s="5">
        <v>43602</v>
      </c>
      <c r="O98" s="4"/>
      <c r="P98" s="4" t="s">
        <v>21</v>
      </c>
    </row>
    <row r="99" spans="1:16">
      <c r="A99" s="4" t="s">
        <v>22</v>
      </c>
      <c r="B99" s="5">
        <v>43567</v>
      </c>
      <c r="C99" s="4" t="str">
        <f>"E000003700"</f>
        <v>E000003700</v>
      </c>
      <c r="D99" s="4">
        <v>711973388</v>
      </c>
      <c r="E99" s="5">
        <v>43595</v>
      </c>
      <c r="F99" s="4">
        <v>1237</v>
      </c>
      <c r="G99" s="4">
        <v>7140</v>
      </c>
      <c r="H99" s="4" t="s">
        <v>147</v>
      </c>
      <c r="I99" s="4">
        <v>6832931007</v>
      </c>
      <c r="J99" s="4" t="s">
        <v>148</v>
      </c>
      <c r="K99" s="4" t="s">
        <v>166</v>
      </c>
      <c r="L99" s="4">
        <v>67.06</v>
      </c>
      <c r="M99" s="4">
        <v>54.97</v>
      </c>
      <c r="N99" s="5">
        <v>43602</v>
      </c>
      <c r="O99" s="4"/>
      <c r="P99" s="4" t="s">
        <v>21</v>
      </c>
    </row>
    <row r="100" spans="1:16">
      <c r="A100" s="4" t="s">
        <v>22</v>
      </c>
      <c r="B100" s="5">
        <v>43567</v>
      </c>
      <c r="C100" s="4" t="str">
        <f>"E000003703"</f>
        <v>E000003703</v>
      </c>
      <c r="D100" s="4">
        <v>711988578</v>
      </c>
      <c r="E100" s="5">
        <v>43595</v>
      </c>
      <c r="F100" s="4">
        <v>1216</v>
      </c>
      <c r="G100" s="4">
        <v>7140</v>
      </c>
      <c r="H100" s="4" t="s">
        <v>147</v>
      </c>
      <c r="I100" s="4">
        <v>6832931007</v>
      </c>
      <c r="J100" s="4" t="s">
        <v>148</v>
      </c>
      <c r="K100" s="4" t="s">
        <v>166</v>
      </c>
      <c r="L100" s="4">
        <v>4.54</v>
      </c>
      <c r="M100" s="4">
        <v>3.72</v>
      </c>
      <c r="N100" s="5">
        <v>43602</v>
      </c>
      <c r="O100" s="4"/>
      <c r="P100" s="4" t="s">
        <v>21</v>
      </c>
    </row>
    <row r="101" spans="1:16">
      <c r="A101" s="4" t="s">
        <v>22</v>
      </c>
      <c r="B101" s="5">
        <v>43567</v>
      </c>
      <c r="C101" s="4" t="str">
        <f>"E000003858"</f>
        <v>E000003858</v>
      </c>
      <c r="D101" s="4">
        <v>711949486</v>
      </c>
      <c r="E101" s="5">
        <v>43592</v>
      </c>
      <c r="F101" s="4">
        <v>1120</v>
      </c>
      <c r="G101" s="4">
        <v>7140</v>
      </c>
      <c r="H101" s="4" t="s">
        <v>147</v>
      </c>
      <c r="I101" s="4">
        <v>6832931007</v>
      </c>
      <c r="J101" s="4" t="s">
        <v>148</v>
      </c>
      <c r="K101" s="4" t="s">
        <v>170</v>
      </c>
      <c r="L101" s="4">
        <v>15.86</v>
      </c>
      <c r="M101" s="4">
        <v>13</v>
      </c>
      <c r="N101" s="5">
        <v>43602</v>
      </c>
      <c r="O101" s="4"/>
      <c r="P101" s="4" t="s">
        <v>21</v>
      </c>
    </row>
    <row r="102" spans="1:16">
      <c r="A102" s="4" t="s">
        <v>22</v>
      </c>
      <c r="B102" s="5">
        <v>43567</v>
      </c>
      <c r="C102" s="4" t="str">
        <f>"E000003924"</f>
        <v>E000003924</v>
      </c>
      <c r="D102" s="4">
        <v>711948667</v>
      </c>
      <c r="E102" s="5">
        <v>43592</v>
      </c>
      <c r="F102" s="4">
        <v>1122</v>
      </c>
      <c r="G102" s="4">
        <v>7140</v>
      </c>
      <c r="H102" s="4" t="s">
        <v>147</v>
      </c>
      <c r="I102" s="4">
        <v>6832931007</v>
      </c>
      <c r="J102" s="4" t="s">
        <v>148</v>
      </c>
      <c r="K102" s="4" t="s">
        <v>170</v>
      </c>
      <c r="L102" s="4">
        <v>16.82</v>
      </c>
      <c r="M102" s="4">
        <v>13.79</v>
      </c>
      <c r="N102" s="5">
        <v>43602</v>
      </c>
      <c r="O102" s="4"/>
      <c r="P102" s="4" t="s">
        <v>21</v>
      </c>
    </row>
    <row r="103" spans="1:16">
      <c r="A103" s="4" t="s">
        <v>22</v>
      </c>
      <c r="B103" s="5">
        <v>43567</v>
      </c>
      <c r="C103" s="4" t="str">
        <f>"E000003925"</f>
        <v>E000003925</v>
      </c>
      <c r="D103" s="4">
        <v>711949422</v>
      </c>
      <c r="E103" s="5">
        <v>43592</v>
      </c>
      <c r="F103" s="4">
        <v>1132</v>
      </c>
      <c r="G103" s="4">
        <v>7140</v>
      </c>
      <c r="H103" s="4" t="s">
        <v>147</v>
      </c>
      <c r="I103" s="4">
        <v>6832931007</v>
      </c>
      <c r="J103" s="4" t="s">
        <v>148</v>
      </c>
      <c r="K103" s="4" t="s">
        <v>170</v>
      </c>
      <c r="L103" s="4">
        <v>177</v>
      </c>
      <c r="M103" s="4">
        <v>145.08000000000001</v>
      </c>
      <c r="N103" s="5">
        <v>43602</v>
      </c>
      <c r="O103" s="4"/>
      <c r="P103" s="4" t="s">
        <v>21</v>
      </c>
    </row>
    <row r="104" spans="1:16">
      <c r="A104" s="4" t="s">
        <v>22</v>
      </c>
      <c r="B104" s="5">
        <v>43567</v>
      </c>
      <c r="C104" s="4" t="str">
        <f>"E000004024"</f>
        <v>E000004024</v>
      </c>
      <c r="D104" s="4">
        <v>711987856</v>
      </c>
      <c r="E104" s="5">
        <v>43595</v>
      </c>
      <c r="F104" s="4">
        <v>1230</v>
      </c>
      <c r="G104" s="4">
        <v>7140</v>
      </c>
      <c r="H104" s="4" t="s">
        <v>147</v>
      </c>
      <c r="I104" s="4">
        <v>6832931007</v>
      </c>
      <c r="J104" s="4" t="s">
        <v>148</v>
      </c>
      <c r="K104" s="4" t="s">
        <v>166</v>
      </c>
      <c r="L104" s="4">
        <v>5.75</v>
      </c>
      <c r="M104" s="4">
        <v>4.71</v>
      </c>
      <c r="N104" s="5">
        <v>43602</v>
      </c>
      <c r="O104" s="4"/>
      <c r="P104" s="4" t="s">
        <v>21</v>
      </c>
    </row>
    <row r="105" spans="1:16">
      <c r="A105" s="4" t="s">
        <v>17</v>
      </c>
      <c r="B105" s="5">
        <v>43486</v>
      </c>
      <c r="C105" s="4" t="str">
        <f>"4/1"</f>
        <v>4/1</v>
      </c>
      <c r="D105" s="4">
        <v>192276806</v>
      </c>
      <c r="E105" s="5">
        <v>43495</v>
      </c>
      <c r="F105" s="4">
        <v>250</v>
      </c>
      <c r="G105" s="4">
        <v>107772</v>
      </c>
      <c r="H105" s="4" t="s">
        <v>171</v>
      </c>
      <c r="I105" s="4">
        <v>1004910384</v>
      </c>
      <c r="J105" s="4" t="s">
        <v>172</v>
      </c>
      <c r="K105" s="4" t="s">
        <v>173</v>
      </c>
      <c r="L105" s="6">
        <v>-57109.09</v>
      </c>
      <c r="M105" s="6">
        <v>-52143.08</v>
      </c>
      <c r="N105" s="5">
        <v>43486</v>
      </c>
      <c r="O105" s="4"/>
      <c r="P105" s="4" t="s">
        <v>174</v>
      </c>
    </row>
    <row r="106" spans="1:16">
      <c r="A106" s="4" t="s">
        <v>17</v>
      </c>
      <c r="B106" s="5">
        <v>43346</v>
      </c>
      <c r="C106" s="4" t="str">
        <f>"1171/D"</f>
        <v>1171/D</v>
      </c>
      <c r="D106" s="4">
        <v>120447225</v>
      </c>
      <c r="E106" s="5">
        <v>43374</v>
      </c>
      <c r="F106" s="4">
        <v>4223</v>
      </c>
      <c r="G106" s="4">
        <v>4475</v>
      </c>
      <c r="H106" s="4" t="s">
        <v>175</v>
      </c>
      <c r="I106" s="4">
        <v>915090393</v>
      </c>
      <c r="J106" s="4" t="s">
        <v>176</v>
      </c>
      <c r="K106" s="4" t="s">
        <v>177</v>
      </c>
      <c r="L106" s="4">
        <v>-299.14999999999998</v>
      </c>
      <c r="M106" s="4">
        <v>-284.89999999999998</v>
      </c>
      <c r="N106" s="5">
        <v>43427</v>
      </c>
      <c r="O106" s="4"/>
      <c r="P106" s="4" t="s">
        <v>178</v>
      </c>
    </row>
    <row r="107" spans="1:16">
      <c r="A107" s="4" t="s">
        <v>17</v>
      </c>
      <c r="B107" s="5">
        <v>43038</v>
      </c>
      <c r="C107" s="4" t="str">
        <f>"O000000971"</f>
        <v>O000000971</v>
      </c>
      <c r="D107" s="4">
        <v>85428063</v>
      </c>
      <c r="E107" s="5">
        <v>43054</v>
      </c>
      <c r="F107" s="4">
        <v>4968</v>
      </c>
      <c r="G107" s="4">
        <v>7140</v>
      </c>
      <c r="H107" s="4" t="s">
        <v>147</v>
      </c>
      <c r="I107" s="4">
        <v>6832931007</v>
      </c>
      <c r="J107" s="4" t="s">
        <v>148</v>
      </c>
      <c r="K107" s="4" t="s">
        <v>179</v>
      </c>
      <c r="L107" s="4">
        <v>-627.02</v>
      </c>
      <c r="M107" s="4">
        <v>-627.02</v>
      </c>
      <c r="N107" s="4"/>
      <c r="O107" s="4"/>
      <c r="P107" s="4" t="s">
        <v>21</v>
      </c>
    </row>
    <row r="108" spans="1:16">
      <c r="A108" s="4" t="s">
        <v>17</v>
      </c>
      <c r="B108" s="5">
        <v>43038</v>
      </c>
      <c r="C108" s="4" t="str">
        <f>"O000000973"</f>
        <v>O000000973</v>
      </c>
      <c r="D108" s="4">
        <v>85428067</v>
      </c>
      <c r="E108" s="5">
        <v>43054</v>
      </c>
      <c r="F108" s="4">
        <v>4967</v>
      </c>
      <c r="G108" s="4">
        <v>7140</v>
      </c>
      <c r="H108" s="4" t="s">
        <v>147</v>
      </c>
      <c r="I108" s="4">
        <v>6832931007</v>
      </c>
      <c r="J108" s="4" t="s">
        <v>148</v>
      </c>
      <c r="K108" s="4" t="s">
        <v>180</v>
      </c>
      <c r="L108" s="4">
        <v>-627.02</v>
      </c>
      <c r="M108" s="4">
        <v>-627.02</v>
      </c>
      <c r="N108" s="4"/>
      <c r="O108" s="4"/>
      <c r="P108" s="4" t="s">
        <v>21</v>
      </c>
    </row>
    <row r="109" spans="1:16">
      <c r="A109" s="4" t="s">
        <v>17</v>
      </c>
      <c r="B109" s="5">
        <v>43011</v>
      </c>
      <c r="C109" s="4" t="str">
        <f>"251/E"</f>
        <v>251/E</v>
      </c>
      <c r="D109" s="4">
        <v>82982128</v>
      </c>
      <c r="E109" s="5">
        <v>43018</v>
      </c>
      <c r="F109" s="4">
        <v>4530</v>
      </c>
      <c r="G109" s="4">
        <v>4673</v>
      </c>
      <c r="H109" s="4" t="s">
        <v>181</v>
      </c>
      <c r="I109" s="4"/>
      <c r="J109" s="4" t="s">
        <v>182</v>
      </c>
      <c r="K109" s="4" t="s">
        <v>183</v>
      </c>
      <c r="L109" s="4">
        <v>-283.58999999999997</v>
      </c>
      <c r="M109" s="4">
        <v>-283.58999999999997</v>
      </c>
      <c r="N109" s="4"/>
      <c r="O109" s="4"/>
      <c r="P109" s="4" t="s">
        <v>178</v>
      </c>
    </row>
    <row r="110" spans="1:16">
      <c r="A110" s="4" t="s">
        <v>17</v>
      </c>
      <c r="B110" s="5">
        <v>42755</v>
      </c>
      <c r="C110" s="4" t="str">
        <f>"S000000046"</f>
        <v>S000000046</v>
      </c>
      <c r="D110" s="4">
        <v>60837027</v>
      </c>
      <c r="E110" s="5">
        <v>42775</v>
      </c>
      <c r="F110" s="4">
        <v>779</v>
      </c>
      <c r="G110" s="4">
        <v>7140</v>
      </c>
      <c r="H110" s="4" t="s">
        <v>147</v>
      </c>
      <c r="I110" s="4">
        <v>6832931007</v>
      </c>
      <c r="J110" s="4" t="s">
        <v>148</v>
      </c>
      <c r="K110" s="4" t="s">
        <v>184</v>
      </c>
      <c r="L110" s="4">
        <v>-929.79</v>
      </c>
      <c r="M110" s="4">
        <v>-762.12</v>
      </c>
      <c r="N110" s="4"/>
      <c r="O110" s="4"/>
      <c r="P110" s="4" t="s">
        <v>21</v>
      </c>
    </row>
    <row r="111" spans="1:16">
      <c r="A111" s="4" t="s">
        <v>17</v>
      </c>
      <c r="B111" s="5">
        <v>42755</v>
      </c>
      <c r="C111" s="4" t="str">
        <f>"S000000047"</f>
        <v>S000000047</v>
      </c>
      <c r="D111" s="4">
        <v>60837031</v>
      </c>
      <c r="E111" s="5">
        <v>42775</v>
      </c>
      <c r="F111" s="4">
        <v>778</v>
      </c>
      <c r="G111" s="4">
        <v>7140</v>
      </c>
      <c r="H111" s="4" t="s">
        <v>147</v>
      </c>
      <c r="I111" s="4">
        <v>6832931007</v>
      </c>
      <c r="J111" s="4" t="s">
        <v>148</v>
      </c>
      <c r="K111" s="4" t="s">
        <v>185</v>
      </c>
      <c r="L111" s="6">
        <v>-2699.19</v>
      </c>
      <c r="M111" s="6">
        <v>-2212.4499999999998</v>
      </c>
      <c r="N111" s="4"/>
      <c r="O111" s="4"/>
      <c r="P111" s="4" t="s">
        <v>21</v>
      </c>
    </row>
    <row r="112" spans="1:16">
      <c r="A112" s="4" t="s">
        <v>17</v>
      </c>
      <c r="B112" s="5">
        <v>42755</v>
      </c>
      <c r="C112" s="4" t="str">
        <f>"S000000048"</f>
        <v>S000000048</v>
      </c>
      <c r="D112" s="4">
        <v>60837093</v>
      </c>
      <c r="E112" s="5">
        <v>42775</v>
      </c>
      <c r="F112" s="4">
        <v>777</v>
      </c>
      <c r="G112" s="4">
        <v>7140</v>
      </c>
      <c r="H112" s="4" t="s">
        <v>147</v>
      </c>
      <c r="I112" s="4">
        <v>6832931007</v>
      </c>
      <c r="J112" s="4" t="s">
        <v>148</v>
      </c>
      <c r="K112" s="4" t="s">
        <v>184</v>
      </c>
      <c r="L112" s="6">
        <v>-5150.82</v>
      </c>
      <c r="M112" s="6">
        <v>-4221.99</v>
      </c>
      <c r="N112" s="4"/>
      <c r="O112" s="4"/>
      <c r="P112" s="4" t="s">
        <v>21</v>
      </c>
    </row>
    <row r="113" spans="1:16">
      <c r="A113" s="4" t="s">
        <v>17</v>
      </c>
      <c r="B113" s="5">
        <v>42755</v>
      </c>
      <c r="C113" s="4" t="str">
        <f>"S000000050"</f>
        <v>S000000050</v>
      </c>
      <c r="D113" s="4">
        <v>60837144</v>
      </c>
      <c r="E113" s="5">
        <v>42775</v>
      </c>
      <c r="F113" s="4">
        <v>775</v>
      </c>
      <c r="G113" s="4">
        <v>7140</v>
      </c>
      <c r="H113" s="4" t="s">
        <v>147</v>
      </c>
      <c r="I113" s="4">
        <v>6832931007</v>
      </c>
      <c r="J113" s="4" t="s">
        <v>148</v>
      </c>
      <c r="K113" s="4" t="s">
        <v>184</v>
      </c>
      <c r="L113" s="6">
        <v>-5042.58</v>
      </c>
      <c r="M113" s="6">
        <v>-4133.26</v>
      </c>
      <c r="N113" s="4"/>
      <c r="O113" s="4"/>
      <c r="P113" s="4" t="s">
        <v>21</v>
      </c>
    </row>
    <row r="114" spans="1:16">
      <c r="A114" s="4" t="s">
        <v>22</v>
      </c>
      <c r="B114" s="5">
        <v>42732</v>
      </c>
      <c r="C114" s="4" t="str">
        <f>"7/A/2016"</f>
        <v>7/A/2016</v>
      </c>
      <c r="D114" s="4">
        <v>65910294</v>
      </c>
      <c r="E114" s="5">
        <v>42838</v>
      </c>
      <c r="F114" s="4">
        <v>1824</v>
      </c>
      <c r="G114" s="4">
        <v>107641</v>
      </c>
      <c r="H114" s="4" t="s">
        <v>186</v>
      </c>
      <c r="I114" s="4" t="s">
        <v>187</v>
      </c>
      <c r="J114" s="4" t="s">
        <v>188</v>
      </c>
      <c r="K114" s="4" t="s">
        <v>189</v>
      </c>
      <c r="L114" s="4">
        <v>89.85</v>
      </c>
      <c r="M114" s="4">
        <v>89.85</v>
      </c>
      <c r="N114" s="5">
        <v>42840</v>
      </c>
      <c r="O114" s="4"/>
      <c r="P114" s="4" t="s">
        <v>26</v>
      </c>
    </row>
    <row r="115" spans="1:16">
      <c r="A115" s="4" t="s">
        <v>17</v>
      </c>
      <c r="B115" s="5">
        <v>42664</v>
      </c>
      <c r="C115" s="4" t="str">
        <f>"S000013698"</f>
        <v>S000013698</v>
      </c>
      <c r="D115" s="4">
        <v>53002585</v>
      </c>
      <c r="E115" s="5">
        <v>42681</v>
      </c>
      <c r="F115" s="4">
        <v>5758</v>
      </c>
      <c r="G115" s="4">
        <v>7140</v>
      </c>
      <c r="H115" s="4" t="s">
        <v>147</v>
      </c>
      <c r="I115" s="4">
        <v>6832931007</v>
      </c>
      <c r="J115" s="4" t="s">
        <v>148</v>
      </c>
      <c r="K115" s="4" t="s">
        <v>190</v>
      </c>
      <c r="L115" s="4">
        <v>-32.18</v>
      </c>
      <c r="M115" s="4">
        <v>-26.38</v>
      </c>
      <c r="N115" s="4"/>
      <c r="O115" s="4"/>
      <c r="P115" s="4" t="s">
        <v>21</v>
      </c>
    </row>
    <row r="116" spans="1:16">
      <c r="A116" s="4" t="s">
        <v>17</v>
      </c>
      <c r="B116" s="5">
        <v>42664</v>
      </c>
      <c r="C116" s="4" t="str">
        <f>"S000013699"</f>
        <v>S000013699</v>
      </c>
      <c r="D116" s="4">
        <v>53002581</v>
      </c>
      <c r="E116" s="5">
        <v>42681</v>
      </c>
      <c r="F116" s="4">
        <v>5757</v>
      </c>
      <c r="G116" s="4">
        <v>7140</v>
      </c>
      <c r="H116" s="4" t="s">
        <v>147</v>
      </c>
      <c r="I116" s="4">
        <v>6832931007</v>
      </c>
      <c r="J116" s="4" t="s">
        <v>148</v>
      </c>
      <c r="K116" s="4" t="s">
        <v>191</v>
      </c>
      <c r="L116" s="4">
        <v>-110.14</v>
      </c>
      <c r="M116" s="4">
        <v>-97.86</v>
      </c>
      <c r="N116" s="4"/>
      <c r="O116" s="4"/>
      <c r="P116" s="4" t="s">
        <v>21</v>
      </c>
    </row>
    <row r="117" spans="1:16">
      <c r="A117" s="4" t="s">
        <v>17</v>
      </c>
      <c r="B117" s="5">
        <v>42664</v>
      </c>
      <c r="C117" s="4" t="str">
        <f>"S000013702"</f>
        <v>S000013702</v>
      </c>
      <c r="D117" s="4">
        <v>53002612</v>
      </c>
      <c r="E117" s="5">
        <v>42681</v>
      </c>
      <c r="F117" s="4">
        <v>5754</v>
      </c>
      <c r="G117" s="4">
        <v>7140</v>
      </c>
      <c r="H117" s="4" t="s">
        <v>147</v>
      </c>
      <c r="I117" s="4">
        <v>6832931007</v>
      </c>
      <c r="J117" s="4" t="s">
        <v>148</v>
      </c>
      <c r="K117" s="4" t="s">
        <v>192</v>
      </c>
      <c r="L117" s="4">
        <v>-483.79</v>
      </c>
      <c r="M117" s="4">
        <v>-396.55</v>
      </c>
      <c r="N117" s="4"/>
      <c r="O117" s="4"/>
      <c r="P117" s="4" t="s">
        <v>21</v>
      </c>
    </row>
    <row r="118" spans="1:16">
      <c r="A118" s="4" t="s">
        <v>17</v>
      </c>
      <c r="B118" s="5">
        <v>42664</v>
      </c>
      <c r="C118" s="4" t="str">
        <f>"S000013703"</f>
        <v>S000013703</v>
      </c>
      <c r="D118" s="4">
        <v>53002590</v>
      </c>
      <c r="E118" s="5">
        <v>42681</v>
      </c>
      <c r="F118" s="4">
        <v>5753</v>
      </c>
      <c r="G118" s="4">
        <v>7140</v>
      </c>
      <c r="H118" s="4" t="s">
        <v>147</v>
      </c>
      <c r="I118" s="4">
        <v>6832931007</v>
      </c>
      <c r="J118" s="4" t="s">
        <v>148</v>
      </c>
      <c r="K118" s="4" t="s">
        <v>193</v>
      </c>
      <c r="L118" s="4">
        <v>-36.69</v>
      </c>
      <c r="M118" s="4">
        <v>-15.9</v>
      </c>
      <c r="N118" s="4"/>
      <c r="O118" s="4"/>
      <c r="P118" s="4" t="s">
        <v>21</v>
      </c>
    </row>
    <row r="119" spans="1:16">
      <c r="A119" s="4" t="s">
        <v>17</v>
      </c>
      <c r="B119" s="5">
        <v>42664</v>
      </c>
      <c r="C119" s="4" t="str">
        <f>"S000013704"</f>
        <v>S000013704</v>
      </c>
      <c r="D119" s="4">
        <v>53002687</v>
      </c>
      <c r="E119" s="5">
        <v>42674</v>
      </c>
      <c r="F119" s="4">
        <v>5684</v>
      </c>
      <c r="G119" s="4">
        <v>7140</v>
      </c>
      <c r="H119" s="4" t="s">
        <v>147</v>
      </c>
      <c r="I119" s="4">
        <v>6832931007</v>
      </c>
      <c r="J119" s="4" t="s">
        <v>148</v>
      </c>
      <c r="K119" s="4" t="s">
        <v>191</v>
      </c>
      <c r="L119" s="4">
        <v>-70.02</v>
      </c>
      <c r="M119" s="4">
        <v>-50</v>
      </c>
      <c r="N119" s="4"/>
      <c r="O119" s="4"/>
      <c r="P119" s="4" t="s">
        <v>21</v>
      </c>
    </row>
    <row r="120" spans="1:16">
      <c r="A120" s="4" t="s">
        <v>17</v>
      </c>
      <c r="B120" s="5">
        <v>42664</v>
      </c>
      <c r="C120" s="4" t="str">
        <f>"S000013705"</f>
        <v>S000013705</v>
      </c>
      <c r="D120" s="4">
        <v>53002652</v>
      </c>
      <c r="E120" s="5">
        <v>42674</v>
      </c>
      <c r="F120" s="4">
        <v>5683</v>
      </c>
      <c r="G120" s="4">
        <v>7140</v>
      </c>
      <c r="H120" s="4" t="s">
        <v>147</v>
      </c>
      <c r="I120" s="4">
        <v>6832931007</v>
      </c>
      <c r="J120" s="4" t="s">
        <v>148</v>
      </c>
      <c r="K120" s="4" t="s">
        <v>191</v>
      </c>
      <c r="L120" s="4">
        <v>-116.25</v>
      </c>
      <c r="M120" s="4">
        <v>-102.64</v>
      </c>
      <c r="N120" s="4"/>
      <c r="O120" s="4"/>
      <c r="P120" s="4" t="s">
        <v>21</v>
      </c>
    </row>
    <row r="121" spans="1:16">
      <c r="A121" s="4" t="s">
        <v>17</v>
      </c>
      <c r="B121" s="5">
        <v>42664</v>
      </c>
      <c r="C121" s="4" t="str">
        <f>"S000013706"</f>
        <v>S000013706</v>
      </c>
      <c r="D121" s="4">
        <v>53002684</v>
      </c>
      <c r="E121" s="5">
        <v>42674</v>
      </c>
      <c r="F121" s="4">
        <v>5668</v>
      </c>
      <c r="G121" s="4">
        <v>7140</v>
      </c>
      <c r="H121" s="4" t="s">
        <v>147</v>
      </c>
      <c r="I121" s="4">
        <v>6832931007</v>
      </c>
      <c r="J121" s="4" t="s">
        <v>148</v>
      </c>
      <c r="K121" s="4" t="s">
        <v>194</v>
      </c>
      <c r="L121" s="4">
        <v>-69.55</v>
      </c>
      <c r="M121" s="4">
        <v>-49.94</v>
      </c>
      <c r="N121" s="4"/>
      <c r="O121" s="4"/>
      <c r="P121" s="4" t="s">
        <v>21</v>
      </c>
    </row>
    <row r="122" spans="1:16">
      <c r="A122" s="4" t="s">
        <v>17</v>
      </c>
      <c r="B122" s="5">
        <v>42664</v>
      </c>
      <c r="C122" s="4" t="str">
        <f>"S000013708"</f>
        <v>S000013708</v>
      </c>
      <c r="D122" s="4">
        <v>53002685</v>
      </c>
      <c r="E122" s="5">
        <v>42669</v>
      </c>
      <c r="F122" s="4">
        <v>5590</v>
      </c>
      <c r="G122" s="4">
        <v>7140</v>
      </c>
      <c r="H122" s="4" t="s">
        <v>147</v>
      </c>
      <c r="I122" s="4">
        <v>6832931007</v>
      </c>
      <c r="J122" s="4" t="s">
        <v>148</v>
      </c>
      <c r="K122" s="4" t="s">
        <v>195</v>
      </c>
      <c r="L122" s="4">
        <v>-88.88</v>
      </c>
      <c r="M122" s="4">
        <v>-72.849999999999994</v>
      </c>
      <c r="N122" s="4"/>
      <c r="O122" s="4"/>
      <c r="P122" s="4" t="s">
        <v>21</v>
      </c>
    </row>
    <row r="123" spans="1:16">
      <c r="A123" s="4" t="s">
        <v>17</v>
      </c>
      <c r="B123" s="5">
        <v>42664</v>
      </c>
      <c r="C123" s="4" t="str">
        <f>"S000013710"</f>
        <v>S000013710</v>
      </c>
      <c r="D123" s="4">
        <v>53002668</v>
      </c>
      <c r="E123" s="5">
        <v>42669</v>
      </c>
      <c r="F123" s="4">
        <v>5589</v>
      </c>
      <c r="G123" s="4">
        <v>7140</v>
      </c>
      <c r="H123" s="4" t="s">
        <v>147</v>
      </c>
      <c r="I123" s="4">
        <v>6832931007</v>
      </c>
      <c r="J123" s="4" t="s">
        <v>148</v>
      </c>
      <c r="K123" s="4" t="s">
        <v>196</v>
      </c>
      <c r="L123" s="4">
        <v>-97.81</v>
      </c>
      <c r="M123" s="4">
        <v>-89.11</v>
      </c>
      <c r="N123" s="4"/>
      <c r="O123" s="4"/>
      <c r="P123" s="4" t="s">
        <v>21</v>
      </c>
    </row>
    <row r="124" spans="1:16">
      <c r="A124" s="4" t="s">
        <v>17</v>
      </c>
      <c r="B124" s="5">
        <v>42664</v>
      </c>
      <c r="C124" s="4" t="str">
        <f>"S000013712"</f>
        <v>S000013712</v>
      </c>
      <c r="D124" s="4">
        <v>53002688</v>
      </c>
      <c r="E124" s="5">
        <v>42669</v>
      </c>
      <c r="F124" s="4">
        <v>5588</v>
      </c>
      <c r="G124" s="4">
        <v>7140</v>
      </c>
      <c r="H124" s="4" t="s">
        <v>147</v>
      </c>
      <c r="I124" s="4">
        <v>6832931007</v>
      </c>
      <c r="J124" s="4" t="s">
        <v>148</v>
      </c>
      <c r="K124" s="4" t="s">
        <v>197</v>
      </c>
      <c r="L124" s="4">
        <v>-122.59</v>
      </c>
      <c r="M124" s="4">
        <v>-100.48</v>
      </c>
      <c r="N124" s="4"/>
      <c r="O124" s="4"/>
      <c r="P124" s="4" t="s">
        <v>21</v>
      </c>
    </row>
    <row r="125" spans="1:16">
      <c r="A125" s="4" t="s">
        <v>17</v>
      </c>
      <c r="B125" s="5">
        <v>42664</v>
      </c>
      <c r="C125" s="4" t="str">
        <f>"S000013715"</f>
        <v>S000013715</v>
      </c>
      <c r="D125" s="4">
        <v>53002713</v>
      </c>
      <c r="E125" s="5">
        <v>42669</v>
      </c>
      <c r="F125" s="4">
        <v>5587</v>
      </c>
      <c r="G125" s="4">
        <v>7140</v>
      </c>
      <c r="H125" s="4" t="s">
        <v>147</v>
      </c>
      <c r="I125" s="4">
        <v>6832931007</v>
      </c>
      <c r="J125" s="4" t="s">
        <v>148</v>
      </c>
      <c r="K125" s="4" t="s">
        <v>198</v>
      </c>
      <c r="L125" s="4">
        <v>-486.63</v>
      </c>
      <c r="M125" s="4">
        <v>-398.87</v>
      </c>
      <c r="N125" s="4"/>
      <c r="O125" s="4"/>
      <c r="P125" s="4" t="s">
        <v>21</v>
      </c>
    </row>
    <row r="126" spans="1:16">
      <c r="A126" s="4" t="s">
        <v>17</v>
      </c>
      <c r="B126" s="5">
        <v>42664</v>
      </c>
      <c r="C126" s="4" t="str">
        <f>"S000013717"</f>
        <v>S000013717</v>
      </c>
      <c r="D126" s="4">
        <v>53002565</v>
      </c>
      <c r="E126" s="5">
        <v>42669</v>
      </c>
      <c r="F126" s="4">
        <v>5586</v>
      </c>
      <c r="G126" s="4">
        <v>7140</v>
      </c>
      <c r="H126" s="4" t="s">
        <v>147</v>
      </c>
      <c r="I126" s="4">
        <v>6832931007</v>
      </c>
      <c r="J126" s="4" t="s">
        <v>148</v>
      </c>
      <c r="K126" s="4" t="s">
        <v>199</v>
      </c>
      <c r="L126" s="4">
        <v>-510.86</v>
      </c>
      <c r="M126" s="4">
        <v>-418.74</v>
      </c>
      <c r="N126" s="4"/>
      <c r="O126" s="4"/>
      <c r="P126" s="4" t="s">
        <v>21</v>
      </c>
    </row>
    <row r="127" spans="1:16">
      <c r="A127" s="4" t="s">
        <v>17</v>
      </c>
      <c r="B127" s="5">
        <v>42557</v>
      </c>
      <c r="C127" s="4" t="str">
        <f>"301680054974"</f>
        <v>301680054974</v>
      </c>
      <c r="D127" s="4">
        <v>44545293</v>
      </c>
      <c r="E127" s="5">
        <v>42566</v>
      </c>
      <c r="F127" s="4">
        <v>4047</v>
      </c>
      <c r="G127" s="4">
        <v>1925</v>
      </c>
      <c r="H127" s="4" t="s">
        <v>93</v>
      </c>
      <c r="I127" s="4">
        <v>488410010</v>
      </c>
      <c r="J127" s="4" t="s">
        <v>94</v>
      </c>
      <c r="K127" s="4" t="s">
        <v>200</v>
      </c>
      <c r="L127" s="4">
        <v>-33.4</v>
      </c>
      <c r="M127" s="4">
        <v>-27.74</v>
      </c>
      <c r="N127" s="4"/>
      <c r="O127" s="4"/>
      <c r="P127" s="4" t="s">
        <v>21</v>
      </c>
    </row>
    <row r="128" spans="1:16">
      <c r="A128" s="4" t="s">
        <v>17</v>
      </c>
      <c r="B128" s="5">
        <v>42551</v>
      </c>
      <c r="C128" s="4" t="str">
        <f>"916 /FE"</f>
        <v>916 /FE</v>
      </c>
      <c r="D128" s="4">
        <v>47051277</v>
      </c>
      <c r="E128" s="5">
        <v>42611</v>
      </c>
      <c r="F128" s="4">
        <v>4638</v>
      </c>
      <c r="G128" s="4">
        <v>4003</v>
      </c>
      <c r="H128" s="4" t="s">
        <v>201</v>
      </c>
      <c r="I128" s="4">
        <v>463980383</v>
      </c>
      <c r="J128" s="4" t="s">
        <v>202</v>
      </c>
      <c r="K128" s="4" t="s">
        <v>203</v>
      </c>
      <c r="L128" s="6">
        <v>-1841.76</v>
      </c>
      <c r="M128" s="6">
        <v>-1841.76</v>
      </c>
      <c r="N128" s="5">
        <v>42620</v>
      </c>
      <c r="O128" s="5">
        <v>42667</v>
      </c>
      <c r="P128" s="4" t="s">
        <v>178</v>
      </c>
    </row>
    <row r="129" spans="1:16">
      <c r="A129" s="4" t="s">
        <v>22</v>
      </c>
      <c r="B129" s="5">
        <v>42345</v>
      </c>
      <c r="C129" s="4" t="str">
        <f>"4S109"</f>
        <v>4S109</v>
      </c>
      <c r="D129" s="4">
        <v>25692196</v>
      </c>
      <c r="E129" s="5">
        <v>42354</v>
      </c>
      <c r="F129" s="4">
        <v>6105</v>
      </c>
      <c r="G129" s="4">
        <v>495</v>
      </c>
      <c r="H129" s="4" t="s">
        <v>204</v>
      </c>
      <c r="I129" s="4">
        <v>162660369</v>
      </c>
      <c r="J129" s="4" t="s">
        <v>205</v>
      </c>
      <c r="K129" s="4" t="s">
        <v>206</v>
      </c>
      <c r="L129" s="4">
        <v>19.68</v>
      </c>
      <c r="M129" s="4">
        <v>19.68</v>
      </c>
      <c r="N129" s="5">
        <v>42435</v>
      </c>
      <c r="O129" s="4"/>
      <c r="P129" s="4" t="s">
        <v>26</v>
      </c>
    </row>
    <row r="130" spans="1:16">
      <c r="A130" s="4" t="s">
        <v>17</v>
      </c>
      <c r="B130" s="5">
        <v>42177</v>
      </c>
      <c r="C130" s="4" t="str">
        <f>"S000003296"</f>
        <v>S000003296</v>
      </c>
      <c r="D130" s="4">
        <v>11706114</v>
      </c>
      <c r="E130" s="5">
        <v>42208</v>
      </c>
      <c r="F130" s="4">
        <v>3663</v>
      </c>
      <c r="G130" s="4">
        <v>7140</v>
      </c>
      <c r="H130" s="4" t="s">
        <v>147</v>
      </c>
      <c r="I130" s="4">
        <v>6832931007</v>
      </c>
      <c r="J130" s="4" t="s">
        <v>148</v>
      </c>
      <c r="K130" s="4" t="s">
        <v>207</v>
      </c>
      <c r="L130" s="4">
        <v>-205.9</v>
      </c>
      <c r="M130" s="4">
        <v>-168.73</v>
      </c>
      <c r="N130" s="4"/>
      <c r="O130" s="4"/>
      <c r="P130" s="4" t="s">
        <v>21</v>
      </c>
    </row>
    <row r="131" spans="1:16">
      <c r="A131" s="4" t="s">
        <v>17</v>
      </c>
      <c r="B131" s="5">
        <v>42177</v>
      </c>
      <c r="C131" s="4" t="str">
        <f>"S000003299"</f>
        <v>S000003299</v>
      </c>
      <c r="D131" s="4">
        <v>11706116</v>
      </c>
      <c r="E131" s="5">
        <v>42208</v>
      </c>
      <c r="F131" s="4">
        <v>3660</v>
      </c>
      <c r="G131" s="4">
        <v>7140</v>
      </c>
      <c r="H131" s="4" t="s">
        <v>147</v>
      </c>
      <c r="I131" s="4">
        <v>6832931007</v>
      </c>
      <c r="J131" s="4" t="s">
        <v>148</v>
      </c>
      <c r="K131" s="4" t="s">
        <v>208</v>
      </c>
      <c r="L131" s="4">
        <v>-139.46</v>
      </c>
      <c r="M131" s="4">
        <v>-114.31</v>
      </c>
      <c r="N131" s="4"/>
      <c r="O131" s="4"/>
      <c r="P131" s="4" t="s">
        <v>21</v>
      </c>
    </row>
    <row r="132" spans="1:16">
      <c r="A132" s="4" t="s">
        <v>17</v>
      </c>
      <c r="B132" s="5">
        <v>42177</v>
      </c>
      <c r="C132" s="4" t="str">
        <f>"S000003310"</f>
        <v>S000003310</v>
      </c>
      <c r="D132" s="4">
        <v>11706128</v>
      </c>
      <c r="E132" s="5">
        <v>42208</v>
      </c>
      <c r="F132" s="4">
        <v>3650</v>
      </c>
      <c r="G132" s="4">
        <v>7140</v>
      </c>
      <c r="H132" s="4" t="s">
        <v>147</v>
      </c>
      <c r="I132" s="4">
        <v>6832931007</v>
      </c>
      <c r="J132" s="4" t="s">
        <v>148</v>
      </c>
      <c r="K132" s="4" t="s">
        <v>209</v>
      </c>
      <c r="L132" s="4">
        <v>-229.19</v>
      </c>
      <c r="M132" s="4">
        <v>-187.86</v>
      </c>
      <c r="N132" s="4"/>
      <c r="O132" s="4"/>
      <c r="P132" s="4" t="s">
        <v>21</v>
      </c>
    </row>
    <row r="133" spans="1:16">
      <c r="A133" s="4" t="s">
        <v>17</v>
      </c>
      <c r="B133" s="5">
        <v>42177</v>
      </c>
      <c r="C133" s="4" t="str">
        <f>"S000003311"</f>
        <v>S000003311</v>
      </c>
      <c r="D133" s="4">
        <v>11706451</v>
      </c>
      <c r="E133" s="5">
        <v>42208</v>
      </c>
      <c r="F133" s="4">
        <v>3649</v>
      </c>
      <c r="G133" s="4">
        <v>7140</v>
      </c>
      <c r="H133" s="4" t="s">
        <v>147</v>
      </c>
      <c r="I133" s="4">
        <v>6832931007</v>
      </c>
      <c r="J133" s="4" t="s">
        <v>148</v>
      </c>
      <c r="K133" s="4" t="s">
        <v>210</v>
      </c>
      <c r="L133" s="4">
        <v>-410.58</v>
      </c>
      <c r="M133" s="4">
        <v>-336.51</v>
      </c>
      <c r="N133" s="4"/>
      <c r="O133" s="4"/>
      <c r="P133" s="4" t="s">
        <v>21</v>
      </c>
    </row>
    <row r="134" spans="1:16">
      <c r="A134" s="4" t="s">
        <v>17</v>
      </c>
      <c r="B134" s="5">
        <v>42131</v>
      </c>
      <c r="C134" s="4" t="str">
        <f>"O000000192"</f>
        <v>O000000192</v>
      </c>
      <c r="D134" s="4">
        <v>34691207</v>
      </c>
      <c r="E134" s="5">
        <v>42612</v>
      </c>
      <c r="F134" s="4">
        <v>4685</v>
      </c>
      <c r="G134" s="4">
        <v>7140</v>
      </c>
      <c r="H134" s="4" t="s">
        <v>147</v>
      </c>
      <c r="I134" s="4">
        <v>6832931007</v>
      </c>
      <c r="J134" s="4" t="s">
        <v>148</v>
      </c>
      <c r="K134" s="4"/>
      <c r="L134" s="6">
        <v>-13481.39</v>
      </c>
      <c r="M134" s="6">
        <v>-13481.39</v>
      </c>
      <c r="N134" s="4"/>
      <c r="O134" s="4"/>
      <c r="P134" s="4" t="s">
        <v>41</v>
      </c>
    </row>
    <row r="135" spans="1:16">
      <c r="A135" s="4" t="s">
        <v>17</v>
      </c>
      <c r="B135" s="5">
        <v>42121</v>
      </c>
      <c r="C135" s="4" t="str">
        <f>"S000000823"</f>
        <v>S000000823</v>
      </c>
      <c r="D135" s="4">
        <v>0</v>
      </c>
      <c r="E135" s="5">
        <v>42138</v>
      </c>
      <c r="F135" s="4">
        <v>2446</v>
      </c>
      <c r="G135" s="4">
        <v>7140</v>
      </c>
      <c r="H135" s="4" t="s">
        <v>147</v>
      </c>
      <c r="I135" s="4">
        <v>6832931007</v>
      </c>
      <c r="J135" s="4" t="s">
        <v>148</v>
      </c>
      <c r="K135" s="4" t="s">
        <v>211</v>
      </c>
      <c r="L135" s="6">
        <v>-3945.87</v>
      </c>
      <c r="M135" s="6">
        <v>-3234.32</v>
      </c>
      <c r="N135" s="4"/>
      <c r="O135" s="4"/>
      <c r="P135" s="4"/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EXHW081526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Pesci Silvia</dc:creator>
  <cp:lastModifiedBy>Silvia Pesci</cp:lastModifiedBy>
  <dcterms:created xsi:type="dcterms:W3CDTF">2022-05-11T09:03:36Z</dcterms:created>
  <dcterms:modified xsi:type="dcterms:W3CDTF">2022-05-11T09:03:36Z</dcterms:modified>
</cp:coreProperties>
</file>